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OKER\Desktop\carpeta frasa\centrico\"/>
    </mc:Choice>
  </mc:AlternateContent>
  <bookViews>
    <workbookView xWindow="0" yWindow="0" windowWidth="0" windowHeight="0" activeTab="1"/>
  </bookViews>
  <sheets>
    <sheet name="COTIZACION" sheetId="2" r:id="rId1"/>
    <sheet name="INVENTARIO" sheetId="1" r:id="rId2"/>
    <sheet name="PRINCING" sheetId="3" r:id="rId3"/>
  </sheets>
  <externalReferences>
    <externalReference r:id="rId4"/>
  </externalReferences>
  <definedNames>
    <definedName name="_xlnm._FilterDatabase" localSheetId="1" hidden="1">INVENTARIO!$A$2:$N$44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3" i="1"/>
  <c r="K22" i="1"/>
  <c r="K26" i="1"/>
  <c r="K3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3" i="1"/>
  <c r="I7" i="1"/>
  <c r="K7" i="1" s="1"/>
  <c r="I8" i="1"/>
  <c r="I10" i="1"/>
  <c r="K10" i="1" s="1"/>
  <c r="I11" i="1"/>
  <c r="K11" i="1" s="1"/>
  <c r="I18" i="1"/>
  <c r="K18" i="1" s="1"/>
  <c r="I19" i="1"/>
  <c r="K19" i="1" s="1"/>
  <c r="I26" i="1"/>
  <c r="I27" i="1"/>
  <c r="K27" i="1" s="1"/>
  <c r="I34" i="1"/>
  <c r="K34" i="1" s="1"/>
  <c r="I35" i="1"/>
  <c r="K35" i="1" s="1"/>
  <c r="I42" i="1"/>
  <c r="K42" i="1" s="1"/>
  <c r="I43" i="1"/>
  <c r="K43" i="1" s="1"/>
  <c r="I3" i="1"/>
  <c r="I44" i="1"/>
  <c r="K44" i="1" s="1"/>
  <c r="I41" i="1"/>
  <c r="K41" i="1" s="1"/>
  <c r="I40" i="1"/>
  <c r="I38" i="1"/>
  <c r="K38" i="1" s="1"/>
  <c r="I37" i="1"/>
  <c r="I36" i="1"/>
  <c r="K36" i="1" s="1"/>
  <c r="I33" i="1"/>
  <c r="K33" i="1" s="1"/>
  <c r="I32" i="1"/>
  <c r="K32" i="1" s="1"/>
  <c r="I31" i="1"/>
  <c r="K31" i="1" s="1"/>
  <c r="I30" i="1"/>
  <c r="I29" i="1"/>
  <c r="I28" i="1"/>
  <c r="K28" i="1" s="1"/>
  <c r="I25" i="1"/>
  <c r="K25" i="1" s="1"/>
  <c r="I24" i="1"/>
  <c r="K24" i="1" s="1"/>
  <c r="I23" i="1"/>
  <c r="K23" i="1" s="1"/>
  <c r="I22" i="1"/>
  <c r="I21" i="1"/>
  <c r="I20" i="1"/>
  <c r="K20" i="1" s="1"/>
  <c r="I17" i="1"/>
  <c r="K17" i="1" s="1"/>
  <c r="I16" i="1"/>
  <c r="K16" i="1" s="1"/>
  <c r="I15" i="1"/>
  <c r="K15" i="1" s="1"/>
  <c r="I13" i="1"/>
  <c r="I12" i="1"/>
  <c r="K12" i="1" s="1"/>
  <c r="I6" i="1"/>
  <c r="K6" i="1" s="1"/>
  <c r="I14" i="1"/>
  <c r="K14" i="1" s="1"/>
  <c r="I9" i="1"/>
  <c r="K9" i="1" s="1"/>
  <c r="I5" i="1"/>
  <c r="I4" i="1"/>
  <c r="K4" i="1" s="1"/>
  <c r="I39" i="1"/>
  <c r="K39" i="1" s="1"/>
  <c r="K3" i="1" l="1"/>
  <c r="K5" i="1"/>
  <c r="K21" i="1"/>
  <c r="K29" i="1"/>
  <c r="K37" i="1"/>
  <c r="K13" i="1"/>
  <c r="K40" i="1"/>
  <c r="K8" i="1"/>
  <c r="K13" i="2" l="1"/>
  <c r="N35" i="3" l="1"/>
  <c r="N31" i="3"/>
  <c r="N27" i="3"/>
  <c r="N23" i="3"/>
  <c r="N19" i="3"/>
  <c r="N15" i="3"/>
  <c r="N11" i="3"/>
  <c r="G11" i="3"/>
  <c r="L11" i="3"/>
  <c r="L15" i="3"/>
  <c r="L19" i="3"/>
  <c r="L23" i="3"/>
  <c r="L27" i="3"/>
  <c r="L31" i="3"/>
  <c r="L35" i="3"/>
  <c r="I35" i="3"/>
  <c r="I31" i="3"/>
  <c r="I27" i="3"/>
  <c r="I23" i="3"/>
  <c r="I19" i="3"/>
  <c r="I15" i="3"/>
  <c r="I11" i="3"/>
  <c r="G35" i="3"/>
  <c r="G31" i="3"/>
  <c r="G27" i="3"/>
  <c r="G23" i="3"/>
  <c r="G19" i="3"/>
  <c r="G15" i="3"/>
  <c r="P35" i="3"/>
  <c r="P31" i="3"/>
  <c r="P27" i="3"/>
  <c r="P23" i="3"/>
  <c r="P19" i="3"/>
  <c r="P15" i="3"/>
  <c r="P11" i="3"/>
  <c r="D11" i="3"/>
  <c r="E15" i="3"/>
  <c r="E19" i="3"/>
  <c r="E23" i="3"/>
  <c r="E27" i="3"/>
  <c r="E31" i="3"/>
  <c r="E35" i="3"/>
  <c r="M20" i="1"/>
  <c r="M14" i="1"/>
  <c r="M15" i="1"/>
  <c r="M9" i="1"/>
  <c r="M25" i="2"/>
  <c r="J25" i="2"/>
  <c r="N23" i="2"/>
  <c r="J23" i="2"/>
  <c r="J21" i="2"/>
  <c r="J20" i="2"/>
  <c r="C23" i="2"/>
  <c r="E20" i="2"/>
  <c r="C21" i="2"/>
  <c r="C20" i="2"/>
  <c r="M8" i="1"/>
  <c r="M3" i="1"/>
  <c r="M4" i="1"/>
  <c r="M5" i="1"/>
  <c r="M6" i="1"/>
  <c r="M7" i="1"/>
  <c r="M10" i="1"/>
  <c r="M11" i="1"/>
  <c r="I29" i="3" s="1"/>
  <c r="I30" i="3" s="1"/>
  <c r="M12" i="1"/>
  <c r="M13" i="1"/>
  <c r="M16" i="1"/>
  <c r="M17" i="1"/>
  <c r="I25" i="3" s="1"/>
  <c r="I26" i="3" s="1"/>
  <c r="M18" i="1"/>
  <c r="L25" i="3" s="1"/>
  <c r="L26" i="3" s="1"/>
  <c r="M19" i="1"/>
  <c r="M21" i="1"/>
  <c r="M22" i="1"/>
  <c r="M23" i="1"/>
  <c r="M24" i="1"/>
  <c r="M25" i="1"/>
  <c r="M26" i="1"/>
  <c r="M27" i="1"/>
  <c r="M28" i="1"/>
  <c r="M29" i="1"/>
  <c r="I17" i="3" s="1"/>
  <c r="I18" i="3" s="1"/>
  <c r="M30" i="1"/>
  <c r="M31" i="1"/>
  <c r="M32" i="1"/>
  <c r="M33" i="1"/>
  <c r="M34" i="1"/>
  <c r="G13" i="3" s="1"/>
  <c r="G14" i="3" s="1"/>
  <c r="M35" i="1"/>
  <c r="M36" i="1"/>
  <c r="M37" i="1"/>
  <c r="M38" i="1"/>
  <c r="M39" i="1"/>
  <c r="M40" i="1"/>
  <c r="M41" i="1"/>
  <c r="M42" i="1"/>
  <c r="M43" i="1"/>
  <c r="M44" i="1"/>
  <c r="J19" i="2" l="1"/>
  <c r="L33" i="3"/>
  <c r="L34" i="3" s="1"/>
  <c r="L9" i="3"/>
  <c r="L10" i="3" s="1"/>
  <c r="C24" i="2"/>
  <c r="E25" i="3"/>
  <c r="E26" i="3" s="1"/>
  <c r="N9" i="3"/>
  <c r="N10" i="3" s="1"/>
  <c r="P17" i="3"/>
  <c r="P18" i="3" s="1"/>
  <c r="G17" i="3"/>
  <c r="G18" i="3" s="1"/>
  <c r="L21" i="3"/>
  <c r="L22" i="3" s="1"/>
  <c r="G25" i="3"/>
  <c r="G26" i="3" s="1"/>
  <c r="P9" i="3"/>
  <c r="P10" i="3" s="1"/>
  <c r="E33" i="3"/>
  <c r="E34" i="3" s="1"/>
  <c r="G33" i="3"/>
  <c r="G34" i="3" s="1"/>
  <c r="N21" i="3"/>
  <c r="N22" i="3" s="1"/>
  <c r="I33" i="3"/>
  <c r="I34" i="3" s="1"/>
  <c r="E13" i="3"/>
  <c r="E14" i="3" s="1"/>
  <c r="P21" i="3"/>
  <c r="P22" i="3" s="1"/>
  <c r="N29" i="3"/>
  <c r="N30" i="3" s="1"/>
  <c r="P29" i="3"/>
  <c r="P30" i="3" s="1"/>
  <c r="N25" i="3"/>
  <c r="N26" i="3" s="1"/>
  <c r="N33" i="3"/>
  <c r="N34" i="3" s="1"/>
  <c r="I13" i="3"/>
  <c r="I14" i="3" s="1"/>
  <c r="P33" i="3"/>
  <c r="P34" i="3" s="1"/>
  <c r="D9" i="3"/>
  <c r="D10" i="3" s="1"/>
  <c r="E29" i="3"/>
  <c r="E30" i="3" s="1"/>
  <c r="I21" i="3"/>
  <c r="I22" i="3" s="1"/>
  <c r="G9" i="3"/>
  <c r="G10" i="3" s="1"/>
  <c r="L17" i="3"/>
  <c r="L18" i="3" s="1"/>
  <c r="P25" i="3"/>
  <c r="P26" i="3" s="1"/>
  <c r="L13" i="3"/>
  <c r="L14" i="3" s="1"/>
  <c r="E21" i="3"/>
  <c r="E22" i="3" s="1"/>
  <c r="N13" i="3"/>
  <c r="N14" i="3" s="1"/>
  <c r="G21" i="3"/>
  <c r="G22" i="3" s="1"/>
  <c r="P13" i="3"/>
  <c r="P14" i="3" s="1"/>
  <c r="G29" i="3"/>
  <c r="G30" i="3" s="1"/>
  <c r="E17" i="3"/>
  <c r="E18" i="3" s="1"/>
  <c r="I9" i="3"/>
  <c r="I10" i="3" s="1"/>
  <c r="N17" i="3"/>
  <c r="N18" i="3" s="1"/>
  <c r="L29" i="3"/>
  <c r="L30" i="3" s="1"/>
  <c r="C42" i="2"/>
  <c r="C43" i="2" s="1"/>
  <c r="C36" i="2"/>
  <c r="C37" i="2" s="1"/>
  <c r="C30" i="2"/>
  <c r="C31" i="2" s="1"/>
  <c r="M41" i="2" l="1"/>
  <c r="M43" i="2"/>
  <c r="M42" i="2"/>
  <c r="J42" i="2" s="1"/>
  <c r="M31" i="2"/>
  <c r="M29" i="2"/>
  <c r="M36" i="2"/>
  <c r="J36" i="2" s="1"/>
  <c r="M37" i="2"/>
  <c r="M35" i="2"/>
</calcChain>
</file>

<file path=xl/sharedStrings.xml><?xml version="1.0" encoding="utf-8"?>
<sst xmlns="http://schemas.openxmlformats.org/spreadsheetml/2006/main" count="302" uniqueCount="75">
  <si>
    <t>DEPTO</t>
  </si>
  <si>
    <t>MODELO</t>
  </si>
  <si>
    <t>TIPO</t>
  </si>
  <si>
    <t>VISTA</t>
  </si>
  <si>
    <t>REVOLUCIÓN</t>
  </si>
  <si>
    <t>2R</t>
  </si>
  <si>
    <t>CEBRA</t>
  </si>
  <si>
    <t>1R</t>
  </si>
  <si>
    <t>REVOLUCIÓN PLUS</t>
  </si>
  <si>
    <t>CAJONES</t>
  </si>
  <si>
    <t>M2 INT</t>
  </si>
  <si>
    <t>M2 EXT</t>
  </si>
  <si>
    <t>M2 TOTAL</t>
  </si>
  <si>
    <t>SD - REVOLUCIÓN</t>
  </si>
  <si>
    <t>INDEPENDENCIA - RÍO</t>
  </si>
  <si>
    <t>PRECIO</t>
  </si>
  <si>
    <t>$/M2</t>
  </si>
  <si>
    <t>DISPONIBILIDAD</t>
  </si>
  <si>
    <t>DISPONIBLE</t>
  </si>
  <si>
    <t>DEPARTAMENTO</t>
  </si>
  <si>
    <t>M2 INTERIOR</t>
  </si>
  <si>
    <t>M2 EXTERIOR</t>
  </si>
  <si>
    <t>PRECIO DE LISTA</t>
  </si>
  <si>
    <t>USD</t>
  </si>
  <si>
    <t>ESTATUS</t>
  </si>
  <si>
    <t>ASIGNADOS</t>
  </si>
  <si>
    <t>MONTO APARTADO</t>
  </si>
  <si>
    <t>PROPUESTA COMERCIAL #1</t>
  </si>
  <si>
    <t>CONTADO</t>
  </si>
  <si>
    <t>PAGOS MENSUALES</t>
  </si>
  <si>
    <t>TOTAL</t>
  </si>
  <si>
    <t xml:space="preserve">DESCUENTO </t>
  </si>
  <si>
    <t>ENGANCHE</t>
  </si>
  <si>
    <t>N/A</t>
  </si>
  <si>
    <t>MONTO DE DESCUENTO</t>
  </si>
  <si>
    <t xml:space="preserve">MENSUALIDADES </t>
  </si>
  <si>
    <t>PRECIO FINAL C/DESC</t>
  </si>
  <si>
    <t>PAGO FINAL</t>
  </si>
  <si>
    <t>PROPUESTA GENERAL CÉNTRICO BY FRASA</t>
  </si>
  <si>
    <t>PROPUESTA COMERCIAL #2</t>
  </si>
  <si>
    <t>SEMI CONTADO</t>
  </si>
  <si>
    <t>PROPUESTA COMERCIAL #3</t>
  </si>
  <si>
    <t>TRADICIONAL</t>
  </si>
  <si>
    <t>LOS VALORES ANTERIORES SON EN DÓLARES, MERAMENTE INFORMATIVOS, POR LO QUE ESTE DOCUMENTO NO CONSTITUYE PREAPROBACIÓN Y POR LO TANTO NO COMPROMETE AL DESARROLLADOR
MONTOS, PORCENTAJES Y PRECIOS EN LA PRESENTE COTIZACIÓN PUEDEN CAMBIAR SIN PREVIO AVISO 
EL MONTO TOTAL DE ENGANCHE INCLUYE LA DEDUCCIÓN DEL MONTO DE APARTADO
LA PRESENTE COTIZACIÓN TIENE UNA VIGENCIA DE 2 DÍAS NATURALES A PARTIR DE LA FECHA DE EMISIÓN
PARA CONGELAR EL PRECIO DE VENTA ES NECESARIO REALIZAR SU APARTADO DE $3,000.00 USD, TENDRÁ 10 DÍAS PARA FORMALIZAR Y NO PERDER LA UBICACIÓN</t>
  </si>
  <si>
    <t>REQUISITOS:</t>
  </si>
  <si>
    <t>CUENTA PARA DEPOSITOS:</t>
  </si>
  <si>
    <t>1. Identificación oficial (INE o Pasaporte)
2. Constancia de situación fiscal  (RFC/CIF)
3. CURP
4. Comprobante de domicilio (no mayor a 3 meses)
5. Estado de cuenta de donde saldrán los depositos</t>
  </si>
  <si>
    <r>
      <rPr>
        <b/>
        <u/>
        <sz val="10"/>
        <color theme="1"/>
        <rFont val="Helvetica"/>
        <family val="2"/>
      </rPr>
      <t>BANREGIO PESOS</t>
    </r>
    <r>
      <rPr>
        <sz val="10"/>
        <color theme="1"/>
        <rFont val="Helvetica"/>
        <family val="2"/>
      </rPr>
      <t xml:space="preserve">
</t>
    </r>
    <r>
      <rPr>
        <b/>
        <sz val="10"/>
        <color theme="1"/>
        <rFont val="Helvetica"/>
        <family val="2"/>
      </rPr>
      <t xml:space="preserve">CUENTA: </t>
    </r>
    <r>
      <rPr>
        <sz val="10"/>
        <color theme="1"/>
        <rFont val="Helvetica"/>
        <family val="2"/>
      </rPr>
      <t xml:space="preserve">090-86719-007-3	</t>
    </r>
    <r>
      <rPr>
        <b/>
        <sz val="10"/>
        <color theme="1"/>
        <rFont val="Helvetica"/>
        <family val="2"/>
      </rPr>
      <t xml:space="preserve">CLABE: </t>
    </r>
    <r>
      <rPr>
        <sz val="10"/>
        <color theme="1"/>
        <rFont val="Helvetica"/>
        <family val="2"/>
      </rPr>
      <t xml:space="preserve">058028908671900733
</t>
    </r>
    <r>
      <rPr>
        <b/>
        <u/>
        <sz val="10"/>
        <color theme="1"/>
        <rFont val="Helvetica"/>
        <family val="2"/>
      </rPr>
      <t>BANREGIO DOLARES</t>
    </r>
    <r>
      <rPr>
        <sz val="10"/>
        <color theme="1"/>
        <rFont val="Helvetica"/>
        <family val="2"/>
      </rPr>
      <t xml:space="preserve">
</t>
    </r>
    <r>
      <rPr>
        <b/>
        <sz val="10"/>
        <color theme="1"/>
        <rFont val="Helvetica"/>
        <family val="2"/>
      </rPr>
      <t xml:space="preserve">CUENTA: </t>
    </r>
    <r>
      <rPr>
        <sz val="10"/>
        <color theme="1"/>
        <rFont val="Helvetica"/>
        <family val="2"/>
      </rPr>
      <t xml:space="preserve">090-86719-008-1	</t>
    </r>
    <r>
      <rPr>
        <b/>
        <sz val="10"/>
        <color theme="1"/>
        <rFont val="Helvetica"/>
        <family val="2"/>
      </rPr>
      <t xml:space="preserve">CLABE: </t>
    </r>
    <r>
      <rPr>
        <sz val="10"/>
        <color theme="1"/>
        <rFont val="Helvetica"/>
        <family val="2"/>
      </rPr>
      <t xml:space="preserve">058028908671900814
</t>
    </r>
    <r>
      <rPr>
        <b/>
        <u/>
        <sz val="10"/>
        <color theme="1"/>
        <rFont val="Helvetica"/>
        <family val="2"/>
      </rPr>
      <t>PARA RECIBIR TRANSFERENCIAS DESDE EL EXTRANJERO:</t>
    </r>
    <r>
      <rPr>
        <sz val="10"/>
        <color theme="1"/>
        <rFont val="Helvetica"/>
        <family val="2"/>
      </rPr>
      <t xml:space="preserve">
</t>
    </r>
    <r>
      <rPr>
        <b/>
        <sz val="10"/>
        <color theme="1"/>
        <rFont val="Helvetica"/>
        <family val="2"/>
      </rPr>
      <t xml:space="preserve">	1. BANCO INTERMEDIARIO:</t>
    </r>
    <r>
      <rPr>
        <sz val="10"/>
        <color theme="1"/>
        <rFont val="Helvetica"/>
        <family val="2"/>
      </rPr>
      <t xml:space="preserve"> STANDARD CHARTERED BANK
       </t>
    </r>
    <r>
      <rPr>
        <b/>
        <sz val="10"/>
        <color theme="1"/>
        <rFont val="Helvetica"/>
        <family val="2"/>
      </rPr>
      <t xml:space="preserve">         PLAZA:</t>
    </r>
    <r>
      <rPr>
        <sz val="10"/>
        <color theme="1"/>
        <rFont val="Helvetica"/>
        <family val="2"/>
      </rPr>
      <t xml:space="preserve"> New York, N.Y.
              </t>
    </r>
    <r>
      <rPr>
        <b/>
        <sz val="10"/>
        <color theme="1"/>
        <rFont val="Helvetica"/>
        <family val="2"/>
      </rPr>
      <t xml:space="preserve">  SWIFT/BIC CODE: </t>
    </r>
    <r>
      <rPr>
        <sz val="10"/>
        <color theme="1"/>
        <rFont val="Helvetica"/>
        <family val="2"/>
      </rPr>
      <t xml:space="preserve">SCBLUS33
</t>
    </r>
    <r>
      <rPr>
        <b/>
        <sz val="10"/>
        <color theme="1"/>
        <rFont val="Helvetica"/>
        <family val="2"/>
      </rPr>
      <t xml:space="preserve">	2. BANCO BENEFICIARIO: </t>
    </r>
    <r>
      <rPr>
        <sz val="10"/>
        <color theme="1"/>
        <rFont val="Helvetica"/>
        <family val="2"/>
      </rPr>
      <t xml:space="preserve">Banco Regional, S.A.
     </t>
    </r>
    <r>
      <rPr>
        <b/>
        <sz val="10"/>
        <color theme="1"/>
        <rFont val="Helvetica"/>
        <family val="2"/>
      </rPr>
      <t xml:space="preserve">           SWIFT/BIC CODE: </t>
    </r>
    <r>
      <rPr>
        <sz val="10"/>
        <color theme="1"/>
        <rFont val="Helvetica"/>
        <family val="2"/>
      </rPr>
      <t xml:space="preserve">RGIOMXMT
	3. </t>
    </r>
    <r>
      <rPr>
        <b/>
        <sz val="10"/>
        <color theme="1"/>
        <rFont val="Helvetica"/>
        <family val="2"/>
      </rPr>
      <t xml:space="preserve">BENEFICIARIO FINAL: </t>
    </r>
    <r>
      <rPr>
        <sz val="10"/>
        <color theme="1"/>
        <rFont val="Helvetica"/>
        <family val="2"/>
      </rPr>
      <t xml:space="preserve">FRASA DESARROLLOS, S.A.P.I. DE C.V.
             </t>
    </r>
    <r>
      <rPr>
        <b/>
        <sz val="10"/>
        <color theme="1"/>
        <rFont val="Helvetica"/>
        <family val="2"/>
      </rPr>
      <t xml:space="preserve">   CUENTA DEL BENEFICIARIO 
(CLABE 18 DÍGITOS): </t>
    </r>
    <r>
      <rPr>
        <sz val="10"/>
        <color theme="1"/>
        <rFont val="Helvetica"/>
        <family val="2"/>
      </rPr>
      <t>058028908671900814</t>
    </r>
  </si>
  <si>
    <t>CLIENTE</t>
  </si>
  <si>
    <t>TIPO CAJON</t>
  </si>
  <si>
    <t>BODEGA</t>
  </si>
  <si>
    <t>REGULAR</t>
  </si>
  <si>
    <t>COMPACTO</t>
  </si>
  <si>
    <t>NIVEL</t>
  </si>
  <si>
    <t xml:space="preserve"> ESCALERAS Y ELEVADORES</t>
  </si>
  <si>
    <t>REVOLUCIÓN - SAN DIEGO</t>
  </si>
  <si>
    <t>FACHADA PRINCIPAL</t>
  </si>
  <si>
    <t>LUIS</t>
  </si>
  <si>
    <t>ASESOR</t>
  </si>
  <si>
    <t>CTE</t>
  </si>
  <si>
    <t>HERIBERTO DURAN CLADERON</t>
  </si>
  <si>
    <t>NOMBRE</t>
  </si>
  <si>
    <t>METODO</t>
  </si>
  <si>
    <t>CRÉDITO</t>
  </si>
  <si>
    <t>LAURA</t>
  </si>
  <si>
    <t>SANDRA</t>
  </si>
  <si>
    <t>VENDIDO</t>
  </si>
  <si>
    <t>SERGIO NUÑEZ GARCIA</t>
  </si>
  <si>
    <t>REFERIDO</t>
  </si>
  <si>
    <t>BALDEMAR PAREDES GONZÁLEZ</t>
  </si>
  <si>
    <t>CYNTHIA ELIZABETH HEREDIA RODRÍGUEZ</t>
  </si>
  <si>
    <t>BLOQUEADO</t>
  </si>
  <si>
    <t>CRISTINA</t>
  </si>
  <si>
    <t>GEOVANI REYNAGA BAÑUELOS</t>
  </si>
  <si>
    <t>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</si>
</sst>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00.00\ &quot;m2&quot;"/>
    <numFmt numFmtId="166" formatCode="_-&quot;$&quot;\ * #,##0.00_-;\-&quot;$&quot;\ * #,##0.00_-;_-&quot;$&quot;\ * &quot;-&quot;??_-;_-@_-"/>
    <numFmt numFmtId="167" formatCode="[$-C0A]d\-mmm\-yy;@"/>
    <numFmt numFmtId="168" formatCode="_-&quot;$&quot;\ * #,##0.00_-;\-&quot;$&quot;\ * #,##0.00_-;_-&quot;$&quot;\ * &quot;-&quot;????_-;_-@_-"/>
    <numFmt numFmtId="169" formatCode="[$-80A]d&quot; de &quot;mmmm&quot; de &quot;yyyy;@"/>
    <numFmt numFmtId="170" formatCode="_-&quot;$&quot;* #,##0_-;\-&quot;$&quot;* #,##0_-;_-&quot;$&quot;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rgb="FFFFFF00"/>
      <name val="Arial"/>
      <family val="2"/>
    </font>
    <font>
      <sz val="9"/>
      <color theme="1"/>
      <name val="Arial"/>
      <family val="2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1"/>
      <color theme="0"/>
      <name val="Helvetica"/>
      <family val="2"/>
    </font>
    <font>
      <sz val="10"/>
      <color theme="0"/>
      <name val="Helvetica"/>
      <family val="2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theme="1"/>
      <name val="Helvetica"/>
      <family val="2"/>
    </font>
    <font>
      <sz val="11"/>
      <color theme="0"/>
      <name val="Helvetica"/>
      <family val="2"/>
    </font>
    <font>
      <b/>
      <sz val="9"/>
      <color theme="1"/>
      <name val="Helvetica"/>
      <family val="2"/>
    </font>
    <font>
      <b/>
      <sz val="12"/>
      <color theme="1"/>
      <name val="Helvetica"/>
      <family val="2"/>
    </font>
    <font>
      <b/>
      <sz val="9"/>
      <name val="Helvetica"/>
      <family val="2"/>
    </font>
    <font>
      <b/>
      <sz val="6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u/>
      <sz val="10"/>
      <color theme="1"/>
      <name val="Helvetica"/>
      <family val="2"/>
    </font>
    <font>
      <b/>
      <sz val="12"/>
      <color rgb="FFD4B475"/>
      <name val="Helvetica"/>
      <family val="2"/>
    </font>
    <font>
      <b/>
      <sz val="7"/>
      <color theme="1"/>
      <name val="Helvetica"/>
      <family val="2"/>
    </font>
    <font>
      <sz val="12"/>
      <color rgb="FF000000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theme="0" tint="-0.49998474074526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0" applyNumberFormat="1" applyFont="1"/>
    <xf numFmtId="0" fontId="5" fillId="0" borderId="0" xfId="2" applyFont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  <xf numFmtId="44" fontId="5" fillId="3" borderId="0" xfId="1" applyFont="1" applyFill="1"/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5" fillId="0" borderId="0" xfId="0" applyFont="1"/>
    <xf numFmtId="166" fontId="10" fillId="0" borderId="0" xfId="4" applyFont="1" applyAlignment="1" applyProtection="1">
      <alignment horizontal="center" vertical="center"/>
    </xf>
    <xf numFmtId="167" fontId="16" fillId="0" borderId="0" xfId="0" applyNumberFormat="1" applyFont="1" applyAlignment="1">
      <alignment horizontal="left" vertical="center" wrapText="1"/>
    </xf>
    <xf numFmtId="167" fontId="17" fillId="0" borderId="0" xfId="0" applyNumberFormat="1" applyFont="1" applyAlignment="1">
      <alignment vertical="center"/>
    </xf>
    <xf numFmtId="167" fontId="18" fillId="0" borderId="0" xfId="0" applyNumberFormat="1" applyFont="1" applyAlignment="1">
      <alignment vertical="center"/>
    </xf>
    <xf numFmtId="0" fontId="10" fillId="0" borderId="0" xfId="0" applyFont="1"/>
    <xf numFmtId="167" fontId="18" fillId="0" borderId="0" xfId="0" applyNumberFormat="1" applyFont="1" applyAlignment="1">
      <alignment horizontal="right" vertical="center"/>
    </xf>
    <xf numFmtId="0" fontId="21" fillId="0" borderId="0" xfId="0" applyFont="1"/>
    <xf numFmtId="0" fontId="6" fillId="0" borderId="10" xfId="0" applyFont="1" applyBorder="1"/>
    <xf numFmtId="0" fontId="10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0" fillId="10" borderId="17" xfId="1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4" fontId="0" fillId="9" borderId="20" xfId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" fontId="0" fillId="8" borderId="28" xfId="1" applyNumberFormat="1" applyFont="1" applyFill="1" applyBorder="1" applyAlignment="1">
      <alignment horizontal="center"/>
    </xf>
    <xf numFmtId="0" fontId="0" fillId="0" borderId="0" xfId="0" applyFill="1"/>
    <xf numFmtId="44" fontId="0" fillId="0" borderId="18" xfId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0" fillId="0" borderId="18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11" borderId="28" xfId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 vertical="center" wrapText="1"/>
    </xf>
    <xf numFmtId="2" fontId="5" fillId="0" borderId="0" xfId="0" applyNumberFormat="1" applyFont="1"/>
    <xf numFmtId="2" fontId="5" fillId="3" borderId="0" xfId="0" applyNumberFormat="1" applyFont="1" applyFill="1" applyAlignment="1">
      <alignment horizontal="center"/>
    </xf>
    <xf numFmtId="170" fontId="5" fillId="0" borderId="0" xfId="1" applyNumberFormat="1" applyFont="1" applyAlignment="1">
      <alignment horizontal="center"/>
    </xf>
    <xf numFmtId="170" fontId="4" fillId="2" borderId="0" xfId="1" applyNumberFormat="1" applyFont="1" applyFill="1" applyAlignment="1">
      <alignment horizontal="center" vertical="center" wrapText="1"/>
    </xf>
    <xf numFmtId="170" fontId="5" fillId="0" borderId="0" xfId="1" applyNumberFormat="1" applyFont="1"/>
    <xf numFmtId="170" fontId="5" fillId="3" borderId="0" xfId="1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165" fontId="10" fillId="0" borderId="3" xfId="3" applyNumberFormat="1" applyFont="1" applyBorder="1" applyAlignment="1" applyProtection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4" xfId="4" applyFont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4" fontId="10" fillId="0" borderId="3" xfId="1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166" fontId="12" fillId="0" borderId="2" xfId="4" applyFont="1" applyBorder="1" applyAlignment="1" applyProtection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166" fontId="10" fillId="0" borderId="3" xfId="4" applyFont="1" applyBorder="1" applyAlignment="1" applyProtection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2" xfId="4" applyFont="1" applyBorder="1" applyAlignment="1" applyProtection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67" fontId="16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right" vertical="top" wrapText="1"/>
    </xf>
    <xf numFmtId="0" fontId="15" fillId="0" borderId="11" xfId="0" applyFont="1" applyBorder="1" applyAlignment="1">
      <alignment horizontal="center"/>
    </xf>
    <xf numFmtId="16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2" fillId="0" borderId="2" xfId="0" applyNumberFormat="1" applyFont="1" applyBorder="1" applyAlignment="1" applyProtection="1">
      <alignment horizontal="center" vertical="center"/>
      <protection locked="0"/>
    </xf>
    <xf numFmtId="44" fontId="10" fillId="0" borderId="38" xfId="1" applyFont="1" applyBorder="1" applyAlignment="1">
      <alignment horizontal="center" vertical="center"/>
    </xf>
    <xf numFmtId="44" fontId="10" fillId="0" borderId="40" xfId="1" applyFont="1" applyBorder="1" applyAlignment="1">
      <alignment horizontal="center" vertical="center"/>
    </xf>
    <xf numFmtId="44" fontId="0" fillId="0" borderId="21" xfId="1" applyFont="1" applyFill="1" applyBorder="1" applyAlignment="1">
      <alignment horizontal="center"/>
    </xf>
    <xf numFmtId="44" fontId="0" fillId="0" borderId="23" xfId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1" fontId="0" fillId="8" borderId="24" xfId="1" applyNumberFormat="1" applyFont="1" applyFill="1" applyBorder="1" applyAlignment="1">
      <alignment horizontal="center"/>
    </xf>
    <xf numFmtId="1" fontId="0" fillId="8" borderId="25" xfId="1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44" fontId="10" fillId="0" borderId="39" xfId="1" applyFont="1" applyBorder="1" applyAlignment="1">
      <alignment horizontal="center" vertical="center"/>
    </xf>
    <xf numFmtId="44" fontId="24" fillId="0" borderId="0" xfId="0" applyNumberFormat="1" applyFont="1" applyAlignment="1">
      <alignment horizontal="center" vertical="center" textRotation="90"/>
    </xf>
    <xf numFmtId="44" fontId="0" fillId="0" borderId="22" xfId="1" applyFont="1" applyFill="1" applyBorder="1" applyAlignment="1">
      <alignment horizontal="center"/>
    </xf>
  </cellXfs>
  <cellStyles count="5">
    <cellStyle name="Comma 2 2" xfId="3"/>
    <cellStyle name="Currency 2" xfId="4"/>
    <cellStyle name="Moneda" xfId="1" builtinId="4"/>
    <cellStyle name="Normal" xfId="0" builtinId="0"/>
    <cellStyle name="Normal 10" xfId="2"/>
  </cellStyles>
  <dxfs count="17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00206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D2C8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ercial/Documents/FRASA/PROYECTOS/CENTRICO/TECNICO/AREAS/CENTRICO%20-%2002%20FEB%202022%20A&#769;REAS%20GENE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 CÉNTRICO 09 FEB 202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O67"/>
  <sheetViews>
    <sheetView showGridLines="0" topLeftCell="A15" zoomScaleNormal="100" workbookViewId="0">
      <selection activeCell="Q33" sqref="Q33"/>
    </sheetView>
  </sheetViews>
  <sheetFormatPr baseColWidth="10" defaultRowHeight="15.75" x14ac:dyDescent="0.25"/>
  <cols>
    <col min="12" max="12" width="1.125" customWidth="1"/>
  </cols>
  <sheetData>
    <row r="12" spans="1:1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55">
        <f ca="1">TODAY()</f>
        <v>44624</v>
      </c>
      <c r="L13" s="55"/>
      <c r="M13" s="55"/>
      <c r="N13" s="55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57" t="s">
        <v>38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58" t="s">
        <v>19</v>
      </c>
      <c r="B19" s="59"/>
      <c r="C19" s="60">
        <v>103</v>
      </c>
      <c r="D19" s="60"/>
      <c r="E19" s="60"/>
      <c r="F19" s="12"/>
      <c r="G19" s="58" t="s">
        <v>20</v>
      </c>
      <c r="H19" s="58"/>
      <c r="I19" s="59"/>
      <c r="J19" s="61">
        <f>VLOOKUP($C$19,INVENTARIO!$1:$1048576,9,0)</f>
        <v>67.0154</v>
      </c>
      <c r="K19" s="61"/>
      <c r="L19" s="61"/>
      <c r="M19" s="61"/>
      <c r="N19" s="61"/>
    </row>
    <row r="20" spans="1:14" x14ac:dyDescent="0.25">
      <c r="A20" s="58" t="s">
        <v>1</v>
      </c>
      <c r="B20" s="59"/>
      <c r="C20" s="62">
        <f>VLOOKUP($C$19,INVENTARIO!$1:$1048576,2,0)</f>
        <v>664</v>
      </c>
      <c r="D20" s="63"/>
      <c r="E20" s="27" t="str">
        <f>VLOOKUP($C$19,INVENTARIO!$1:$1048576,4,0)</f>
        <v>2R</v>
      </c>
      <c r="F20" s="12"/>
      <c r="G20" s="58" t="s">
        <v>21</v>
      </c>
      <c r="H20" s="58"/>
      <c r="I20" s="59"/>
      <c r="J20" s="61">
        <f>VLOOKUP($C$19,INVENTARIO!$1:$1048576,10,0)</f>
        <v>3.0459000000000001</v>
      </c>
      <c r="K20" s="61"/>
      <c r="L20" s="61"/>
      <c r="M20" s="61"/>
      <c r="N20" s="61"/>
    </row>
    <row r="21" spans="1:14" x14ac:dyDescent="0.25">
      <c r="A21" s="58" t="s">
        <v>53</v>
      </c>
      <c r="B21" s="59"/>
      <c r="C21" s="64">
        <f>VLOOKUP($C$19,INVENTARIO!$1:$1048576,3,0)</f>
        <v>1</v>
      </c>
      <c r="D21" s="64"/>
      <c r="E21" s="64"/>
      <c r="F21" s="12"/>
      <c r="G21" s="65" t="s">
        <v>12</v>
      </c>
      <c r="H21" s="65"/>
      <c r="I21" s="66"/>
      <c r="J21" s="61">
        <f>VLOOKUP($C$19,INVENTARIO!$1:$1048576,11,0)</f>
        <v>70.061300000000003</v>
      </c>
      <c r="K21" s="61"/>
      <c r="L21" s="61"/>
      <c r="M21" s="61"/>
      <c r="N21" s="61"/>
    </row>
    <row r="22" spans="1:14" x14ac:dyDescent="0.25">
      <c r="A22" s="67"/>
      <c r="B22" s="67"/>
      <c r="C22" s="68"/>
      <c r="D22" s="68"/>
      <c r="E22" s="68"/>
      <c r="F22" s="12"/>
    </row>
    <row r="23" spans="1:14" x14ac:dyDescent="0.25">
      <c r="A23" s="74" t="s">
        <v>22</v>
      </c>
      <c r="B23" s="75"/>
      <c r="C23" s="76">
        <f>VLOOKUP($C$19,INVENTARIO!$1:$1048576,12,0)</f>
        <v>219000</v>
      </c>
      <c r="D23" s="76"/>
      <c r="E23" s="76"/>
      <c r="F23" s="12" t="s">
        <v>23</v>
      </c>
      <c r="G23" s="58" t="s">
        <v>3</v>
      </c>
      <c r="H23" s="58"/>
      <c r="I23" s="59"/>
      <c r="J23" s="79" t="str">
        <f>VLOOKUP($C$19,INVENTARIO!$1:$1048576,5,0)</f>
        <v>REVOLUCIÓN</v>
      </c>
      <c r="K23" s="80"/>
      <c r="M23" s="28" t="s">
        <v>50</v>
      </c>
      <c r="N23" s="46">
        <f>VLOOKUP($C$19,INVENTARIO!$1:$1048576,8,0)</f>
        <v>2.02</v>
      </c>
    </row>
    <row r="24" spans="1:14" x14ac:dyDescent="0.25">
      <c r="A24" s="74" t="s">
        <v>24</v>
      </c>
      <c r="B24" s="75"/>
      <c r="C24" s="76" t="str">
        <f>VLOOKUP($C$19,INVENTARIO!$1:$1048576,14,0)</f>
        <v>DISPONIBLE</v>
      </c>
      <c r="D24" s="76"/>
      <c r="E24" s="76"/>
      <c r="F24" s="14"/>
      <c r="G24" s="14"/>
      <c r="H24" s="12"/>
      <c r="I24" s="14"/>
      <c r="J24" s="77" t="s">
        <v>25</v>
      </c>
      <c r="K24" s="77"/>
      <c r="L24" s="29"/>
      <c r="M24" s="77" t="s">
        <v>2</v>
      </c>
      <c r="N24" s="77"/>
    </row>
    <row r="25" spans="1:14" x14ac:dyDescent="0.25">
      <c r="A25" s="74" t="s">
        <v>26</v>
      </c>
      <c r="B25" s="75"/>
      <c r="C25" s="78">
        <v>3000</v>
      </c>
      <c r="D25" s="78"/>
      <c r="E25" s="78"/>
      <c r="F25" s="12" t="s">
        <v>23</v>
      </c>
      <c r="G25" s="58" t="s">
        <v>9</v>
      </c>
      <c r="H25" s="58"/>
      <c r="I25" s="13"/>
      <c r="J25" s="79">
        <f>VLOOKUP($C$19,INVENTARIO!$1:$1048576,6,0)</f>
        <v>1</v>
      </c>
      <c r="K25" s="80"/>
      <c r="L25" s="15"/>
      <c r="M25" s="81" t="str">
        <f>VLOOKUP($C$19,INVENTARIO!$1:$1048576,7,0)</f>
        <v>REGULAR</v>
      </c>
      <c r="N25" s="82"/>
    </row>
    <row r="26" spans="1:1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5">
      <c r="A27" s="69" t="s">
        <v>27</v>
      </c>
      <c r="B27" s="70"/>
      <c r="C27" s="71"/>
      <c r="D27" s="69" t="s">
        <v>28</v>
      </c>
      <c r="E27" s="70"/>
      <c r="F27" s="71"/>
      <c r="G27" s="16"/>
      <c r="H27" s="16"/>
      <c r="I27" s="16"/>
      <c r="J27" s="72" t="s">
        <v>29</v>
      </c>
      <c r="K27" s="72"/>
      <c r="L27" s="17"/>
      <c r="M27" s="72" t="s">
        <v>30</v>
      </c>
      <c r="N27" s="72"/>
    </row>
    <row r="28" spans="1:1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73"/>
      <c r="K28" s="73"/>
      <c r="L28" s="18"/>
      <c r="M28" s="73"/>
      <c r="N28" s="73"/>
    </row>
    <row r="29" spans="1:14" x14ac:dyDescent="0.25">
      <c r="A29" s="65" t="s">
        <v>31</v>
      </c>
      <c r="B29" s="66"/>
      <c r="C29" s="84">
        <v>0.04</v>
      </c>
      <c r="D29" s="84"/>
      <c r="E29" s="14"/>
      <c r="F29" s="65" t="s">
        <v>32</v>
      </c>
      <c r="G29" s="66"/>
      <c r="H29" s="84">
        <v>0.9</v>
      </c>
      <c r="I29" s="84"/>
      <c r="J29" s="88" t="s">
        <v>33</v>
      </c>
      <c r="K29" s="88"/>
      <c r="L29" s="14"/>
      <c r="M29" s="88">
        <f>(C31*$H29)-C25</f>
        <v>186216</v>
      </c>
      <c r="N29" s="88"/>
    </row>
    <row r="30" spans="1:14" x14ac:dyDescent="0.25">
      <c r="A30" s="65" t="s">
        <v>34</v>
      </c>
      <c r="B30" s="66"/>
      <c r="C30" s="83">
        <f>$C$23*C29</f>
        <v>8760</v>
      </c>
      <c r="D30" s="83"/>
      <c r="E30" s="19"/>
      <c r="F30" s="65" t="s">
        <v>35</v>
      </c>
      <c r="G30" s="66"/>
      <c r="H30" s="64" t="s">
        <v>33</v>
      </c>
      <c r="I30" s="64"/>
      <c r="J30" s="64" t="s">
        <v>33</v>
      </c>
      <c r="K30" s="64"/>
      <c r="L30" s="14"/>
      <c r="M30" s="64" t="s">
        <v>33</v>
      </c>
      <c r="N30" s="64"/>
    </row>
    <row r="31" spans="1:14" x14ac:dyDescent="0.25">
      <c r="A31" s="65" t="s">
        <v>36</v>
      </c>
      <c r="B31" s="66"/>
      <c r="C31" s="83">
        <f>$C$23-C30</f>
        <v>210240</v>
      </c>
      <c r="D31" s="83"/>
      <c r="E31" s="19"/>
      <c r="F31" s="65" t="s">
        <v>37</v>
      </c>
      <c r="G31" s="66"/>
      <c r="H31" s="84">
        <v>0.1</v>
      </c>
      <c r="I31" s="84"/>
      <c r="J31" s="85" t="s">
        <v>33</v>
      </c>
      <c r="K31" s="85"/>
      <c r="L31" s="14"/>
      <c r="M31" s="85">
        <f>C31*$H31</f>
        <v>21024</v>
      </c>
      <c r="N31" s="85"/>
    </row>
    <row r="33" spans="1:15" x14ac:dyDescent="0.25">
      <c r="A33" s="69" t="s">
        <v>39</v>
      </c>
      <c r="B33" s="70"/>
      <c r="C33" s="71"/>
      <c r="D33" s="69" t="s">
        <v>40</v>
      </c>
      <c r="E33" s="70"/>
      <c r="F33" s="71"/>
      <c r="G33" s="16"/>
      <c r="H33" s="16"/>
      <c r="I33" s="16"/>
      <c r="J33" s="72" t="s">
        <v>29</v>
      </c>
      <c r="K33" s="72"/>
      <c r="L33" s="17"/>
      <c r="M33" s="72" t="s">
        <v>30</v>
      </c>
      <c r="N33" s="72"/>
    </row>
    <row r="34" spans="1:1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73"/>
      <c r="K34" s="73"/>
      <c r="L34" s="18"/>
      <c r="M34" s="73"/>
      <c r="N34" s="73"/>
    </row>
    <row r="35" spans="1:15" x14ac:dyDescent="0.25">
      <c r="A35" s="86" t="s">
        <v>31</v>
      </c>
      <c r="B35" s="87"/>
      <c r="C35" s="84">
        <v>0.02</v>
      </c>
      <c r="D35" s="84"/>
      <c r="E35" s="14"/>
      <c r="F35" s="86" t="s">
        <v>32</v>
      </c>
      <c r="G35" s="87"/>
      <c r="H35" s="84">
        <v>0.2</v>
      </c>
      <c r="I35" s="84">
        <v>0.2</v>
      </c>
      <c r="J35" s="88" t="s">
        <v>33</v>
      </c>
      <c r="K35" s="88"/>
      <c r="L35" s="14"/>
      <c r="M35" s="88">
        <f>(C37*$H35)-C25</f>
        <v>39924</v>
      </c>
      <c r="N35" s="88"/>
    </row>
    <row r="36" spans="1:15" x14ac:dyDescent="0.25">
      <c r="A36" s="86" t="s">
        <v>34</v>
      </c>
      <c r="B36" s="87"/>
      <c r="C36" s="83">
        <f>$C$23*C35</f>
        <v>4380</v>
      </c>
      <c r="D36" s="83"/>
      <c r="E36" s="19"/>
      <c r="F36" s="86" t="s">
        <v>35</v>
      </c>
      <c r="G36" s="87"/>
      <c r="H36" s="64">
        <v>16</v>
      </c>
      <c r="I36" s="64">
        <v>14</v>
      </c>
      <c r="J36" s="89">
        <f>M36/H36</f>
        <v>4024.1250000000005</v>
      </c>
      <c r="K36" s="89"/>
      <c r="L36" s="14"/>
      <c r="M36" s="90">
        <f>C37*(1-$H35-$H37)</f>
        <v>64386.000000000007</v>
      </c>
      <c r="N36" s="90"/>
    </row>
    <row r="37" spans="1:15" x14ac:dyDescent="0.25">
      <c r="A37" s="86" t="s">
        <v>36</v>
      </c>
      <c r="B37" s="87"/>
      <c r="C37" s="83">
        <f>$C$23-C36</f>
        <v>214620</v>
      </c>
      <c r="D37" s="83"/>
      <c r="E37" s="19"/>
      <c r="F37" s="86" t="s">
        <v>37</v>
      </c>
      <c r="G37" s="87"/>
      <c r="H37" s="84">
        <v>0.5</v>
      </c>
      <c r="I37" s="84">
        <v>0.5</v>
      </c>
      <c r="J37" s="96" t="s">
        <v>33</v>
      </c>
      <c r="K37" s="97"/>
      <c r="L37" s="14"/>
      <c r="M37" s="85">
        <f>C37*$H37</f>
        <v>107310</v>
      </c>
      <c r="N37" s="85"/>
    </row>
    <row r="39" spans="1:15" x14ac:dyDescent="0.25">
      <c r="A39" s="69" t="s">
        <v>41</v>
      </c>
      <c r="B39" s="70"/>
      <c r="C39" s="71"/>
      <c r="D39" s="69" t="s">
        <v>42</v>
      </c>
      <c r="E39" s="70"/>
      <c r="F39" s="71"/>
      <c r="G39" s="16"/>
      <c r="H39" s="16"/>
      <c r="I39" s="16"/>
      <c r="J39" s="72" t="s">
        <v>29</v>
      </c>
      <c r="K39" s="72"/>
      <c r="L39" s="17"/>
      <c r="M39" s="72" t="s">
        <v>30</v>
      </c>
      <c r="N39" s="72"/>
    </row>
    <row r="40" spans="1:1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73"/>
      <c r="K40" s="73"/>
      <c r="L40" s="18"/>
      <c r="M40" s="73"/>
      <c r="N40" s="73"/>
    </row>
    <row r="41" spans="1:15" x14ac:dyDescent="0.25">
      <c r="A41" s="91" t="s">
        <v>31</v>
      </c>
      <c r="B41" s="92"/>
      <c r="C41" s="84">
        <v>0</v>
      </c>
      <c r="D41" s="84"/>
      <c r="E41" s="14"/>
      <c r="F41" s="91" t="s">
        <v>32</v>
      </c>
      <c r="G41" s="92"/>
      <c r="H41" s="98">
        <v>0.05</v>
      </c>
      <c r="I41" s="98">
        <v>0.2</v>
      </c>
      <c r="J41" s="88" t="s">
        <v>33</v>
      </c>
      <c r="K41" s="88"/>
      <c r="L41" s="14"/>
      <c r="M41" s="88">
        <f>(C43*$H41)-C25</f>
        <v>7950</v>
      </c>
      <c r="N41" s="88"/>
    </row>
    <row r="42" spans="1:15" x14ac:dyDescent="0.25">
      <c r="A42" s="91" t="s">
        <v>34</v>
      </c>
      <c r="B42" s="92"/>
      <c r="C42" s="83">
        <f>$C$23*C41</f>
        <v>0</v>
      </c>
      <c r="D42" s="83"/>
      <c r="E42" s="19"/>
      <c r="F42" s="91" t="s">
        <v>35</v>
      </c>
      <c r="G42" s="92"/>
      <c r="H42" s="64">
        <v>16</v>
      </c>
      <c r="I42" s="64">
        <v>14</v>
      </c>
      <c r="J42" s="89">
        <f>M42/H42</f>
        <v>2053.1249999999986</v>
      </c>
      <c r="K42" s="89"/>
      <c r="L42" s="14"/>
      <c r="M42" s="90">
        <f>C43*(1-$H41-$H43)</f>
        <v>32849.999999999978</v>
      </c>
      <c r="N42" s="90"/>
    </row>
    <row r="43" spans="1:15" x14ac:dyDescent="0.25">
      <c r="A43" s="91" t="s">
        <v>36</v>
      </c>
      <c r="B43" s="92"/>
      <c r="C43" s="83">
        <f>$C$23-C42</f>
        <v>219000</v>
      </c>
      <c r="D43" s="83"/>
      <c r="E43" s="19"/>
      <c r="F43" s="91" t="s">
        <v>37</v>
      </c>
      <c r="G43" s="92"/>
      <c r="H43" s="84">
        <v>0.8</v>
      </c>
      <c r="I43" s="84">
        <v>0.5</v>
      </c>
      <c r="J43" s="96" t="s">
        <v>33</v>
      </c>
      <c r="K43" s="97"/>
      <c r="L43" s="14"/>
      <c r="M43" s="85">
        <f>C43*$H43</f>
        <v>175200</v>
      </c>
      <c r="N43" s="85"/>
    </row>
    <row r="46" spans="1:15" x14ac:dyDescent="0.25">
      <c r="A46" s="93" t="s">
        <v>43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1:15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5">
      <c r="A53" s="2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22" t="s">
        <v>44</v>
      </c>
      <c r="B54" s="23"/>
      <c r="C54" s="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4" t="s">
        <v>45</v>
      </c>
      <c r="O54" s="10"/>
    </row>
    <row r="55" spans="1:15" ht="15.95" customHeight="1" x14ac:dyDescent="0.25">
      <c r="A55" s="56" t="s">
        <v>46</v>
      </c>
      <c r="B55" s="56"/>
      <c r="C55" s="56"/>
      <c r="D55" s="56"/>
      <c r="E55" s="10"/>
      <c r="F55" s="10"/>
      <c r="G55" s="94" t="s">
        <v>47</v>
      </c>
      <c r="H55" s="94"/>
      <c r="I55" s="94"/>
      <c r="J55" s="94"/>
      <c r="K55" s="94"/>
      <c r="L55" s="94"/>
      <c r="M55" s="94"/>
      <c r="N55" s="94"/>
      <c r="O55" s="10"/>
    </row>
    <row r="56" spans="1:15" x14ac:dyDescent="0.25">
      <c r="A56" s="56"/>
      <c r="B56" s="56"/>
      <c r="C56" s="56"/>
      <c r="D56" s="56"/>
      <c r="E56" s="10"/>
      <c r="F56" s="10"/>
      <c r="G56" s="94"/>
      <c r="H56" s="94"/>
      <c r="I56" s="94"/>
      <c r="J56" s="94"/>
      <c r="K56" s="94"/>
      <c r="L56" s="94"/>
      <c r="M56" s="94"/>
      <c r="N56" s="94"/>
      <c r="O56" s="10"/>
    </row>
    <row r="57" spans="1:15" x14ac:dyDescent="0.25">
      <c r="A57" s="56"/>
      <c r="B57" s="56"/>
      <c r="C57" s="56"/>
      <c r="D57" s="56"/>
      <c r="E57" s="10"/>
      <c r="F57" s="10"/>
      <c r="G57" s="94"/>
      <c r="H57" s="94"/>
      <c r="I57" s="94"/>
      <c r="J57" s="94"/>
      <c r="K57" s="94"/>
      <c r="L57" s="94"/>
      <c r="M57" s="94"/>
      <c r="N57" s="94"/>
      <c r="O57" s="10"/>
    </row>
    <row r="58" spans="1:15" x14ac:dyDescent="0.25">
      <c r="A58" s="56"/>
      <c r="B58" s="56"/>
      <c r="C58" s="56"/>
      <c r="D58" s="56"/>
      <c r="E58" s="10"/>
      <c r="F58" s="10"/>
      <c r="G58" s="94"/>
      <c r="H58" s="94"/>
      <c r="I58" s="94"/>
      <c r="J58" s="94"/>
      <c r="K58" s="94"/>
      <c r="L58" s="94"/>
      <c r="M58" s="94"/>
      <c r="N58" s="94"/>
      <c r="O58" s="10"/>
    </row>
    <row r="59" spans="1:15" x14ac:dyDescent="0.25">
      <c r="A59" s="56"/>
      <c r="B59" s="56"/>
      <c r="C59" s="56"/>
      <c r="D59" s="56"/>
      <c r="E59" s="10"/>
      <c r="F59" s="10"/>
      <c r="G59" s="94"/>
      <c r="H59" s="94"/>
      <c r="I59" s="94"/>
      <c r="J59" s="94"/>
      <c r="K59" s="94"/>
      <c r="L59" s="94"/>
      <c r="M59" s="94"/>
      <c r="N59" s="94"/>
      <c r="O59" s="10"/>
    </row>
    <row r="60" spans="1:15" x14ac:dyDescent="0.25">
      <c r="A60" s="56"/>
      <c r="B60" s="56"/>
      <c r="C60" s="56"/>
      <c r="D60" s="56"/>
      <c r="E60" s="10"/>
      <c r="F60" s="10"/>
      <c r="G60" s="94"/>
      <c r="H60" s="94"/>
      <c r="I60" s="94"/>
      <c r="J60" s="94"/>
      <c r="K60" s="94"/>
      <c r="L60" s="94"/>
      <c r="M60" s="94"/>
      <c r="N60" s="94"/>
      <c r="O60" s="10"/>
    </row>
    <row r="61" spans="1:15" x14ac:dyDescent="0.25">
      <c r="A61" s="10"/>
      <c r="B61" s="10"/>
      <c r="C61" s="10"/>
      <c r="D61" s="10"/>
      <c r="E61" s="10"/>
      <c r="F61" s="10"/>
      <c r="G61" s="94"/>
      <c r="H61" s="94"/>
      <c r="I61" s="94"/>
      <c r="J61" s="94"/>
      <c r="K61" s="94"/>
      <c r="L61" s="94"/>
      <c r="M61" s="94"/>
      <c r="N61" s="94"/>
      <c r="O61" s="10"/>
    </row>
    <row r="62" spans="1:15" x14ac:dyDescent="0.25">
      <c r="A62" s="10"/>
      <c r="B62" s="10"/>
      <c r="C62" s="10"/>
      <c r="D62" s="10"/>
      <c r="E62" s="10"/>
      <c r="F62" s="10"/>
      <c r="G62" s="94"/>
      <c r="H62" s="94"/>
      <c r="I62" s="94"/>
      <c r="J62" s="94"/>
      <c r="K62" s="94"/>
      <c r="L62" s="94"/>
      <c r="M62" s="94"/>
      <c r="N62" s="94"/>
      <c r="O62" s="10"/>
    </row>
    <row r="63" spans="1:15" x14ac:dyDescent="0.25">
      <c r="A63" s="10"/>
      <c r="B63" s="10"/>
      <c r="C63" s="10"/>
      <c r="D63" s="10"/>
      <c r="E63" s="10"/>
      <c r="F63" s="10"/>
      <c r="G63" s="94"/>
      <c r="H63" s="94"/>
      <c r="I63" s="94"/>
      <c r="J63" s="94"/>
      <c r="K63" s="94"/>
      <c r="L63" s="94"/>
      <c r="M63" s="94"/>
      <c r="N63" s="94"/>
      <c r="O63" s="10"/>
    </row>
    <row r="64" spans="1:15" x14ac:dyDescent="0.25">
      <c r="A64" s="18"/>
      <c r="B64" s="10"/>
      <c r="C64" s="10"/>
      <c r="D64" s="10"/>
      <c r="E64" s="10"/>
      <c r="F64" s="10"/>
      <c r="G64" s="94"/>
      <c r="H64" s="94"/>
      <c r="I64" s="94"/>
      <c r="J64" s="94"/>
      <c r="K64" s="94"/>
      <c r="L64" s="94"/>
      <c r="M64" s="94"/>
      <c r="N64" s="94"/>
      <c r="O64" s="10"/>
    </row>
    <row r="65" spans="1:15" x14ac:dyDescent="0.25">
      <c r="A65" s="25"/>
      <c r="B65" s="10"/>
      <c r="C65" s="10"/>
      <c r="D65" s="10"/>
      <c r="E65" s="10"/>
      <c r="F65" s="10"/>
      <c r="G65" s="94"/>
      <c r="H65" s="94"/>
      <c r="I65" s="94"/>
      <c r="J65" s="94"/>
      <c r="K65" s="94"/>
      <c r="L65" s="94"/>
      <c r="M65" s="94"/>
      <c r="N65" s="94"/>
      <c r="O65" s="10"/>
    </row>
    <row r="66" spans="1:15" x14ac:dyDescent="0.25">
      <c r="A66" s="10"/>
      <c r="B66" s="26"/>
      <c r="C66" s="26"/>
      <c r="D66" s="26"/>
      <c r="E66" s="26"/>
      <c r="F66" s="10"/>
      <c r="G66" s="94"/>
      <c r="H66" s="94"/>
      <c r="I66" s="94"/>
      <c r="J66" s="94"/>
      <c r="K66" s="94"/>
      <c r="L66" s="94"/>
      <c r="M66" s="94"/>
      <c r="N66" s="94"/>
      <c r="O66" s="10"/>
    </row>
    <row r="67" spans="1:15" x14ac:dyDescent="0.25">
      <c r="A67" s="10"/>
      <c r="B67" s="10"/>
      <c r="C67" s="95" t="s">
        <v>48</v>
      </c>
      <c r="D67" s="95"/>
      <c r="E67" s="10"/>
      <c r="F67" s="10"/>
      <c r="G67" s="94"/>
      <c r="H67" s="94"/>
      <c r="I67" s="94"/>
      <c r="J67" s="94"/>
      <c r="K67" s="94"/>
      <c r="L67" s="94"/>
      <c r="M67" s="94"/>
      <c r="N67" s="94"/>
      <c r="O67" s="10"/>
    </row>
  </sheetData>
  <sheetProtection algorithmName="SHA-512" hashValue="BnK7zvF+C5xtO2MXruiNG1utdMpUSYom0EqU/9XQyVHJsstATiliRDkeR7IaUt4swxIOTegiIcySI5tu8Yd49w==" saltValue="CEHBpXa1GmcM+XVTnTveqQ==" spinCount="100000" sheet="1" objects="1" scenarios="1"/>
  <mergeCells count="99">
    <mergeCell ref="M37:N37"/>
    <mergeCell ref="M41:N41"/>
    <mergeCell ref="M39:N40"/>
    <mergeCell ref="M42:N42"/>
    <mergeCell ref="H42:I42"/>
    <mergeCell ref="J42:K42"/>
    <mergeCell ref="J39:K40"/>
    <mergeCell ref="J41:K41"/>
    <mergeCell ref="J37:K37"/>
    <mergeCell ref="H41:I41"/>
    <mergeCell ref="M29:N29"/>
    <mergeCell ref="M30:N30"/>
    <mergeCell ref="M35:N35"/>
    <mergeCell ref="M31:N31"/>
    <mergeCell ref="J29:K29"/>
    <mergeCell ref="M43:N43"/>
    <mergeCell ref="A46:O50"/>
    <mergeCell ref="G55:N67"/>
    <mergeCell ref="C67:D67"/>
    <mergeCell ref="A43:B43"/>
    <mergeCell ref="C43:D43"/>
    <mergeCell ref="F43:G43"/>
    <mergeCell ref="H43:I43"/>
    <mergeCell ref="J43:K43"/>
    <mergeCell ref="A37:B37"/>
    <mergeCell ref="C37:D37"/>
    <mergeCell ref="F37:G37"/>
    <mergeCell ref="H37:I37"/>
    <mergeCell ref="A42:B42"/>
    <mergeCell ref="C42:D42"/>
    <mergeCell ref="F42:G42"/>
    <mergeCell ref="A39:C39"/>
    <mergeCell ref="D39:F39"/>
    <mergeCell ref="A41:B41"/>
    <mergeCell ref="C41:D41"/>
    <mergeCell ref="F41:G41"/>
    <mergeCell ref="A36:B36"/>
    <mergeCell ref="C36:D36"/>
    <mergeCell ref="F36:G36"/>
    <mergeCell ref="J36:K36"/>
    <mergeCell ref="M36:N36"/>
    <mergeCell ref="H36:I36"/>
    <mergeCell ref="A33:C33"/>
    <mergeCell ref="D33:F33"/>
    <mergeCell ref="J33:K34"/>
    <mergeCell ref="M33:N34"/>
    <mergeCell ref="A35:B35"/>
    <mergeCell ref="C35:D35"/>
    <mergeCell ref="F35:G35"/>
    <mergeCell ref="H35:I35"/>
    <mergeCell ref="J35:K35"/>
    <mergeCell ref="A31:B31"/>
    <mergeCell ref="C31:D31"/>
    <mergeCell ref="F31:G31"/>
    <mergeCell ref="H31:I31"/>
    <mergeCell ref="J31:K31"/>
    <mergeCell ref="A30:B30"/>
    <mergeCell ref="C30:D30"/>
    <mergeCell ref="F30:G30"/>
    <mergeCell ref="J30:K30"/>
    <mergeCell ref="G23:I23"/>
    <mergeCell ref="A29:B29"/>
    <mergeCell ref="C29:D29"/>
    <mergeCell ref="F29:G29"/>
    <mergeCell ref="H29:I29"/>
    <mergeCell ref="J23:K23"/>
    <mergeCell ref="H30:I30"/>
    <mergeCell ref="C22:E22"/>
    <mergeCell ref="A27:C27"/>
    <mergeCell ref="D27:F27"/>
    <mergeCell ref="J27:K28"/>
    <mergeCell ref="M27:N28"/>
    <mergeCell ref="A23:B23"/>
    <mergeCell ref="C23:E23"/>
    <mergeCell ref="A24:B24"/>
    <mergeCell ref="C24:E24"/>
    <mergeCell ref="J24:K24"/>
    <mergeCell ref="M24:N24"/>
    <mergeCell ref="A25:B25"/>
    <mergeCell ref="C25:E25"/>
    <mergeCell ref="G25:H25"/>
    <mergeCell ref="J25:K25"/>
    <mergeCell ref="M25:N25"/>
    <mergeCell ref="K13:N13"/>
    <mergeCell ref="A55:D60"/>
    <mergeCell ref="A17:N17"/>
    <mergeCell ref="A19:B19"/>
    <mergeCell ref="C19:E19"/>
    <mergeCell ref="J19:N19"/>
    <mergeCell ref="A20:B20"/>
    <mergeCell ref="J20:N20"/>
    <mergeCell ref="G19:I19"/>
    <mergeCell ref="C20:D20"/>
    <mergeCell ref="G20:I20"/>
    <mergeCell ref="A21:B21"/>
    <mergeCell ref="C21:E21"/>
    <mergeCell ref="G21:I21"/>
    <mergeCell ref="J21:N21"/>
    <mergeCell ref="A22:B22"/>
  </mergeCells>
  <conditionalFormatting sqref="F24:G24">
    <cfRule type="containsText" dxfId="173" priority="8" operator="containsText" text="Reservado">
      <formula>NOT(ISERROR(SEARCH("Reservado",F24)))</formula>
    </cfRule>
    <cfRule type="containsText" dxfId="172" priority="9" operator="containsText" text="Vendido">
      <formula>NOT(ISERROR(SEARCH("Vendido",F24)))</formula>
    </cfRule>
    <cfRule type="containsText" dxfId="171" priority="10" operator="containsText" text="Disponible">
      <formula>NOT(ISERROR(SEARCH("Disponible",F24)))</formula>
    </cfRule>
  </conditionalFormatting>
  <conditionalFormatting sqref="C24:E24">
    <cfRule type="containsText" dxfId="170" priority="1" operator="containsText" text="RESERVADO">
      <formula>NOT(ISERROR(SEARCH("RESERVADO",C24)))</formula>
    </cfRule>
    <cfRule type="containsText" dxfId="169" priority="2" operator="containsText" text="DISPONIBLE">
      <formula>NOT(ISERROR(SEARCH("DISPONIBLE",C24)))</formula>
    </cfRule>
    <cfRule type="containsText" dxfId="168" priority="3" operator="containsText" text="VENDIDO">
      <formula>NOT(ISERROR(SEARCH("VENDIDO",C24)))</formula>
    </cfRule>
  </conditionalFormatting>
  <dataValidations count="1">
    <dataValidation type="list" allowBlank="1" showInputMessage="1" showErrorMessage="1" sqref="H41:I41">
      <formula1>"5%,10%"</formula1>
    </dataValidation>
  </dataValidation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44"/>
  <sheetViews>
    <sheetView tabSelected="1" zoomScaleNormal="100" workbookViewId="0">
      <selection activeCell="K15" sqref="K15"/>
    </sheetView>
  </sheetViews>
  <sheetFormatPr baseColWidth="10" defaultColWidth="10.625" defaultRowHeight="12" x14ac:dyDescent="0.2"/>
  <cols>
    <col min="1" max="1" width="6.625" style="3" bestFit="1" customWidth="1"/>
    <col min="2" max="2" width="16.625" style="3" bestFit="1" customWidth="1"/>
    <col min="3" max="3" width="10.5" style="3" bestFit="1" customWidth="1"/>
    <col min="4" max="4" width="8.5" style="3" customWidth="1"/>
    <col min="5" max="5" width="22.5" style="3" bestFit="1" customWidth="1"/>
    <col min="6" max="8" width="10.625" style="4"/>
    <col min="9" max="9" width="10.625" style="47"/>
    <col min="10" max="11" width="10.625" style="49"/>
    <col min="12" max="12" width="14.625" style="53" bestFit="1" customWidth="1"/>
    <col min="13" max="13" width="11.5" style="3" bestFit="1" customWidth="1"/>
    <col min="14" max="14" width="17.125" style="3" bestFit="1" customWidth="1"/>
    <col min="15" max="15" width="10.625" style="4" hidden="1" customWidth="1"/>
    <col min="16" max="16" width="6.125" style="4" hidden="1" customWidth="1"/>
    <col min="17" max="17" width="27.625" style="4" hidden="1" customWidth="1"/>
    <col min="18" max="18" width="10.625" style="4" hidden="1" customWidth="1"/>
    <col min="19" max="19" width="10.625" style="3" hidden="1" customWidth="1"/>
    <col min="20" max="20" width="10.625" style="3" customWidth="1"/>
    <col min="21" max="16384" width="10.625" style="3"/>
  </cols>
  <sheetData>
    <row r="1" spans="1:18" x14ac:dyDescent="0.2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7">
        <v>9</v>
      </c>
      <c r="J1" s="47">
        <v>10</v>
      </c>
      <c r="K1" s="47">
        <v>11</v>
      </c>
      <c r="L1" s="51">
        <v>12</v>
      </c>
      <c r="M1" s="4">
        <v>13</v>
      </c>
      <c r="N1" s="4">
        <v>14</v>
      </c>
    </row>
    <row r="2" spans="1:18" ht="26.1" customHeight="1" x14ac:dyDescent="0.2">
      <c r="A2" s="2" t="s">
        <v>0</v>
      </c>
      <c r="B2" s="2" t="s">
        <v>1</v>
      </c>
      <c r="C2" s="2" t="s">
        <v>53</v>
      </c>
      <c r="D2" s="2" t="s">
        <v>2</v>
      </c>
      <c r="E2" s="2" t="s">
        <v>3</v>
      </c>
      <c r="F2" s="2" t="s">
        <v>9</v>
      </c>
      <c r="G2" s="2" t="s">
        <v>49</v>
      </c>
      <c r="H2" s="2" t="s">
        <v>50</v>
      </c>
      <c r="I2" s="48" t="s">
        <v>10</v>
      </c>
      <c r="J2" s="48" t="s">
        <v>11</v>
      </c>
      <c r="K2" s="48" t="s">
        <v>12</v>
      </c>
      <c r="L2" s="52" t="s">
        <v>15</v>
      </c>
      <c r="M2" s="2" t="s">
        <v>16</v>
      </c>
      <c r="N2" s="2" t="s">
        <v>17</v>
      </c>
      <c r="O2" s="2" t="s">
        <v>58</v>
      </c>
      <c r="P2" s="2" t="s">
        <v>59</v>
      </c>
      <c r="Q2" s="2" t="s">
        <v>61</v>
      </c>
      <c r="R2" s="2" t="s">
        <v>62</v>
      </c>
    </row>
    <row r="3" spans="1:18" hidden="1" x14ac:dyDescent="0.2">
      <c r="A3" s="4">
        <v>101</v>
      </c>
      <c r="B3" s="4" t="s">
        <v>4</v>
      </c>
      <c r="C3" s="4">
        <v>1</v>
      </c>
      <c r="D3" s="4" t="s">
        <v>5</v>
      </c>
      <c r="E3" s="4" t="s">
        <v>14</v>
      </c>
      <c r="F3" s="4">
        <v>2</v>
      </c>
      <c r="G3" s="4" t="s">
        <v>51</v>
      </c>
      <c r="H3" s="4">
        <f>VLOOKUP(A3,'[1]M2 CÉNTRICO 09 FEB 2022'!$1:$1048576,15,0)</f>
        <v>2.11</v>
      </c>
      <c r="I3" s="47">
        <f>VLOOKUP(A3,'[1]M2 CÉNTRICO 09 FEB 2022'!$1:$1048576,11,0)</f>
        <v>70.464200000000019</v>
      </c>
      <c r="J3" s="47">
        <f>VLOOKUP(A3,'[1]M2 CÉNTRICO 09 FEB 2022'!$1:$1048576,12,0)</f>
        <v>6.6063999999999998</v>
      </c>
      <c r="K3" s="47">
        <f>I3+J3</f>
        <v>77.070600000000013</v>
      </c>
      <c r="L3" s="53">
        <v>226000</v>
      </c>
      <c r="M3" s="5">
        <f>L3/K3</f>
        <v>2932.3762887534281</v>
      </c>
      <c r="N3" s="6" t="s">
        <v>66</v>
      </c>
      <c r="O3" s="4" t="s">
        <v>65</v>
      </c>
      <c r="P3" s="4">
        <v>31557</v>
      </c>
      <c r="Q3" s="4" t="s">
        <v>70</v>
      </c>
      <c r="R3" s="4" t="s">
        <v>63</v>
      </c>
    </row>
    <row r="4" spans="1:18" x14ac:dyDescent="0.2">
      <c r="A4" s="4">
        <v>102</v>
      </c>
      <c r="B4" s="4" t="s">
        <v>6</v>
      </c>
      <c r="C4" s="4">
        <v>1</v>
      </c>
      <c r="D4" s="4" t="s">
        <v>7</v>
      </c>
      <c r="E4" s="4" t="s">
        <v>4</v>
      </c>
      <c r="F4" s="4">
        <v>1</v>
      </c>
      <c r="G4" s="4" t="s">
        <v>52</v>
      </c>
      <c r="H4" s="4">
        <f>VLOOKUP(A4,'[1]M2 CÉNTRICO 09 FEB 2022'!$1:$1048576,15,0)</f>
        <v>1.95</v>
      </c>
      <c r="I4" s="47">
        <f>VLOOKUP(A4,'[1]M2 CÉNTRICO 09 FEB 2022'!$1:$1048576,11,0)</f>
        <v>47.506999999999998</v>
      </c>
      <c r="J4" s="47">
        <f>VLOOKUP(A4,'[1]M2 CÉNTRICO 09 FEB 2022'!$1:$1048576,12,0)</f>
        <v>2.7523</v>
      </c>
      <c r="K4" s="47">
        <f t="shared" ref="K4:K44" si="0">I4+J4</f>
        <v>50.259299999999996</v>
      </c>
      <c r="L4" s="53">
        <v>161000</v>
      </c>
      <c r="M4" s="5">
        <f t="shared" ref="M4:M44" si="1">L4/K4</f>
        <v>3203.3872338054848</v>
      </c>
      <c r="N4" s="6" t="s">
        <v>18</v>
      </c>
    </row>
    <row r="5" spans="1:18" x14ac:dyDescent="0.2">
      <c r="A5" s="4">
        <v>103</v>
      </c>
      <c r="B5" s="4">
        <v>664</v>
      </c>
      <c r="C5" s="4">
        <v>1</v>
      </c>
      <c r="D5" s="4" t="s">
        <v>5</v>
      </c>
      <c r="E5" s="4" t="s">
        <v>4</v>
      </c>
      <c r="F5" s="4">
        <v>1</v>
      </c>
      <c r="G5" s="4" t="s">
        <v>51</v>
      </c>
      <c r="H5" s="4">
        <f>VLOOKUP(A5,'[1]M2 CÉNTRICO 09 FEB 2022'!$1:$1048576,15,0)</f>
        <v>2.02</v>
      </c>
      <c r="I5" s="47">
        <f>VLOOKUP(A5,'[1]M2 CÉNTRICO 09 FEB 2022'!$1:$1048576,11,0)</f>
        <v>67.0154</v>
      </c>
      <c r="J5" s="47">
        <f>VLOOKUP(A5,'[1]M2 CÉNTRICO 09 FEB 2022'!$1:$1048576,12,0)</f>
        <v>3.0459000000000001</v>
      </c>
      <c r="K5" s="47">
        <f t="shared" si="0"/>
        <v>70.061300000000003</v>
      </c>
      <c r="L5" s="53">
        <v>219000</v>
      </c>
      <c r="M5" s="5">
        <f>L11/K5</f>
        <v>2968.8287257016354</v>
      </c>
      <c r="N5" s="6" t="s">
        <v>18</v>
      </c>
    </row>
    <row r="6" spans="1:18" x14ac:dyDescent="0.2">
      <c r="A6" s="4">
        <v>104</v>
      </c>
      <c r="B6" s="4">
        <v>664</v>
      </c>
      <c r="C6" s="4">
        <v>1</v>
      </c>
      <c r="D6" s="4" t="s">
        <v>5</v>
      </c>
      <c r="E6" s="4" t="s">
        <v>4</v>
      </c>
      <c r="F6" s="4">
        <v>1</v>
      </c>
      <c r="G6" s="4" t="s">
        <v>51</v>
      </c>
      <c r="H6" s="4">
        <f>VLOOKUP(A6,'[1]M2 CÉNTRICO 09 FEB 2022'!$1:$1048576,15,0)</f>
        <v>2.11</v>
      </c>
      <c r="I6" s="47">
        <f>VLOOKUP(A6,'[1]M2 CÉNTRICO 09 FEB 2022'!$1:$1048576,11,0)</f>
        <v>67.0154</v>
      </c>
      <c r="J6" s="47">
        <f>VLOOKUP(A6,'[1]M2 CÉNTRICO 09 FEB 2022'!$1:$1048576,12,0)</f>
        <v>3.0459000000000001</v>
      </c>
      <c r="K6" s="47">
        <f t="shared" si="0"/>
        <v>70.061300000000003</v>
      </c>
      <c r="L6" s="53">
        <v>219000</v>
      </c>
      <c r="M6" s="5">
        <f>L12/K6</f>
        <v>2966.4593720070852</v>
      </c>
      <c r="N6" s="6" t="s">
        <v>18</v>
      </c>
    </row>
    <row r="7" spans="1:18" x14ac:dyDescent="0.2">
      <c r="A7" s="4">
        <v>105</v>
      </c>
      <c r="B7" s="4" t="s">
        <v>6</v>
      </c>
      <c r="C7" s="4">
        <v>1</v>
      </c>
      <c r="D7" s="4" t="s">
        <v>7</v>
      </c>
      <c r="E7" s="4" t="s">
        <v>4</v>
      </c>
      <c r="F7" s="4">
        <v>1</v>
      </c>
      <c r="G7" s="4" t="s">
        <v>52</v>
      </c>
      <c r="H7" s="4">
        <f>VLOOKUP(A7,'[1]M2 CÉNTRICO 09 FEB 2022'!$1:$1048576,15,0)</f>
        <v>1.95</v>
      </c>
      <c r="I7" s="47">
        <f>VLOOKUP(A7,'[1]M2 CÉNTRICO 09 FEB 2022'!$1:$1048576,11,0)</f>
        <v>47.506999999999998</v>
      </c>
      <c r="J7" s="47">
        <f>VLOOKUP(A7,'[1]M2 CÉNTRICO 09 FEB 2022'!$1:$1048576,12,0)</f>
        <v>2.7523</v>
      </c>
      <c r="K7" s="47">
        <f t="shared" si="0"/>
        <v>50.259299999999996</v>
      </c>
      <c r="L7" s="53">
        <v>161000</v>
      </c>
      <c r="M7" s="5">
        <f t="shared" si="1"/>
        <v>3203.3872338054848</v>
      </c>
      <c r="N7" s="6" t="s">
        <v>18</v>
      </c>
    </row>
    <row r="8" spans="1:18" x14ac:dyDescent="0.2">
      <c r="A8" s="4">
        <v>106</v>
      </c>
      <c r="B8" s="4" t="s">
        <v>4</v>
      </c>
      <c r="C8" s="4">
        <v>1</v>
      </c>
      <c r="D8" s="4" t="s">
        <v>5</v>
      </c>
      <c r="E8" s="4" t="s">
        <v>13</v>
      </c>
      <c r="F8" s="4">
        <v>2</v>
      </c>
      <c r="G8" s="4" t="s">
        <v>51</v>
      </c>
      <c r="H8" s="4">
        <f>VLOOKUP(A8,'[1]M2 CÉNTRICO 09 FEB 2022'!$1:$1048576,15,0)</f>
        <v>2.02</v>
      </c>
      <c r="I8" s="47">
        <f>VLOOKUP(A8,'[1]M2 CÉNTRICO 09 FEB 2022'!$1:$1048576,11,0)</f>
        <v>70.464200000000019</v>
      </c>
      <c r="J8" s="47">
        <f>VLOOKUP(A8,'[1]M2 CÉNTRICO 09 FEB 2022'!$1:$1048576,12,0)</f>
        <v>6.6063999999999998</v>
      </c>
      <c r="K8" s="47">
        <f t="shared" si="0"/>
        <v>77.070600000000013</v>
      </c>
      <c r="L8" s="53">
        <v>227000</v>
      </c>
      <c r="M8" s="5">
        <f>L8/K8</f>
        <v>2945.3514050753461</v>
      </c>
      <c r="N8" s="6" t="s">
        <v>18</v>
      </c>
    </row>
    <row r="9" spans="1:18" hidden="1" x14ac:dyDescent="0.2">
      <c r="A9" s="4">
        <v>201</v>
      </c>
      <c r="B9" s="4" t="s">
        <v>4</v>
      </c>
      <c r="C9" s="4">
        <v>2</v>
      </c>
      <c r="D9" s="4" t="s">
        <v>5</v>
      </c>
      <c r="E9" s="4" t="s">
        <v>14</v>
      </c>
      <c r="F9" s="4">
        <v>1</v>
      </c>
      <c r="G9" s="4" t="s">
        <v>51</v>
      </c>
      <c r="H9" s="4">
        <f>VLOOKUP(A9,'[1]M2 CÉNTRICO 09 FEB 2022'!$1:$1048576,15,0)</f>
        <v>2.11</v>
      </c>
      <c r="I9" s="47">
        <f>VLOOKUP(A9,'[1]M2 CÉNTRICO 09 FEB 2022'!$1:$1048576,11,0)</f>
        <v>70.464200000000005</v>
      </c>
      <c r="J9" s="47">
        <f>VLOOKUP(A9,'[1]M2 CÉNTRICO 09 FEB 2022'!$1:$1048576,12,0)</f>
        <v>7.2164000000000001</v>
      </c>
      <c r="K9" s="47">
        <f t="shared" si="0"/>
        <v>77.680599999999998</v>
      </c>
      <c r="L9" s="53">
        <v>208000</v>
      </c>
      <c r="M9" s="5">
        <f>L9/K9</f>
        <v>2677.6312232397795</v>
      </c>
      <c r="N9" s="6" t="s">
        <v>66</v>
      </c>
      <c r="O9" s="4" t="s">
        <v>72</v>
      </c>
      <c r="P9" s="4">
        <v>31579</v>
      </c>
      <c r="Q9" s="4" t="s">
        <v>73</v>
      </c>
      <c r="R9" s="4" t="s">
        <v>74</v>
      </c>
    </row>
    <row r="10" spans="1:18" hidden="1" x14ac:dyDescent="0.2">
      <c r="A10" s="4">
        <v>202</v>
      </c>
      <c r="B10" s="4" t="s">
        <v>6</v>
      </c>
      <c r="C10" s="4">
        <v>2</v>
      </c>
      <c r="D10" s="4" t="s">
        <v>7</v>
      </c>
      <c r="E10" s="4" t="s">
        <v>4</v>
      </c>
      <c r="F10" s="4">
        <v>1</v>
      </c>
      <c r="G10" s="4" t="s">
        <v>52</v>
      </c>
      <c r="H10" s="4">
        <f>VLOOKUP(A10,'[1]M2 CÉNTRICO 09 FEB 2022'!$1:$1048576,15,0)</f>
        <v>1.95</v>
      </c>
      <c r="I10" s="47">
        <f>VLOOKUP(A10,'[1]M2 CÉNTRICO 09 FEB 2022'!$1:$1048576,11,0)</f>
        <v>47.506999999999998</v>
      </c>
      <c r="J10" s="47">
        <f>VLOOKUP(A10,'[1]M2 CÉNTRICO 09 FEB 2022'!$1:$1048576,12,0)</f>
        <v>2.7523</v>
      </c>
      <c r="K10" s="47">
        <f t="shared" si="0"/>
        <v>50.259299999999996</v>
      </c>
      <c r="L10" s="53">
        <v>166000</v>
      </c>
      <c r="M10" s="5">
        <f t="shared" si="1"/>
        <v>3302.8713093895062</v>
      </c>
      <c r="N10" s="6" t="s">
        <v>71</v>
      </c>
    </row>
    <row r="11" spans="1:18" x14ac:dyDescent="0.2">
      <c r="A11" s="4">
        <v>203</v>
      </c>
      <c r="B11" s="4">
        <v>664</v>
      </c>
      <c r="C11" s="4">
        <v>2</v>
      </c>
      <c r="D11" s="4" t="s">
        <v>5</v>
      </c>
      <c r="E11" s="4" t="s">
        <v>4</v>
      </c>
      <c r="F11" s="4">
        <v>1</v>
      </c>
      <c r="G11" s="4" t="s">
        <v>51</v>
      </c>
      <c r="H11" s="4">
        <f>VLOOKUP(A11,'[1]M2 CÉNTRICO 09 FEB 2022'!$1:$1048576,15,0)</f>
        <v>2.02</v>
      </c>
      <c r="I11" s="47">
        <f>VLOOKUP(A11,'[1]M2 CÉNTRICO 09 FEB 2022'!$1:$1048576,11,0)</f>
        <v>67.0154</v>
      </c>
      <c r="J11" s="47">
        <f>VLOOKUP(A11,'[1]M2 CÉNTRICO 09 FEB 2022'!$1:$1048576,12,0)</f>
        <v>3.0459000000000001</v>
      </c>
      <c r="K11" s="47">
        <f t="shared" si="0"/>
        <v>70.061300000000003</v>
      </c>
      <c r="L11" s="53">
        <v>208000</v>
      </c>
      <c r="M11" s="5">
        <f>L17/K11</f>
        <v>3054.4680158661058</v>
      </c>
      <c r="N11" s="6" t="s">
        <v>18</v>
      </c>
    </row>
    <row r="12" spans="1:18" x14ac:dyDescent="0.2">
      <c r="A12" s="4">
        <v>204</v>
      </c>
      <c r="B12" s="4">
        <v>664</v>
      </c>
      <c r="C12" s="4">
        <v>2</v>
      </c>
      <c r="D12" s="4" t="s">
        <v>5</v>
      </c>
      <c r="E12" s="4" t="s">
        <v>4</v>
      </c>
      <c r="F12" s="4">
        <v>1</v>
      </c>
      <c r="G12" s="4" t="s">
        <v>51</v>
      </c>
      <c r="H12" s="4">
        <f>VLOOKUP(A12,'[1]M2 CÉNTRICO 09 FEB 2022'!$1:$1048576,15,0)</f>
        <v>2.11</v>
      </c>
      <c r="I12" s="47">
        <f>VLOOKUP(A12,'[1]M2 CÉNTRICO 09 FEB 2022'!$1:$1048576,11,0)</f>
        <v>67.0154</v>
      </c>
      <c r="J12" s="47">
        <f>VLOOKUP(A12,'[1]M2 CÉNTRICO 09 FEB 2022'!$1:$1048576,12,0)</f>
        <v>3.0459000000000001</v>
      </c>
      <c r="K12" s="47">
        <f t="shared" si="0"/>
        <v>70.061300000000003</v>
      </c>
      <c r="L12" s="53">
        <v>207834</v>
      </c>
      <c r="M12" s="5">
        <f>L18/K12</f>
        <v>3054.4680158661058</v>
      </c>
      <c r="N12" s="6" t="s">
        <v>18</v>
      </c>
    </row>
    <row r="13" spans="1:18" hidden="1" x14ac:dyDescent="0.2">
      <c r="A13" s="4">
        <v>205</v>
      </c>
      <c r="B13" s="4" t="s">
        <v>6</v>
      </c>
      <c r="C13" s="4">
        <v>2</v>
      </c>
      <c r="D13" s="4" t="s">
        <v>7</v>
      </c>
      <c r="E13" s="4" t="s">
        <v>4</v>
      </c>
      <c r="F13" s="4">
        <v>1</v>
      </c>
      <c r="G13" s="4" t="s">
        <v>52</v>
      </c>
      <c r="H13" s="4">
        <f>VLOOKUP(A13,'[1]M2 CÉNTRICO 09 FEB 2022'!$1:$1048576,15,0)</f>
        <v>1.95</v>
      </c>
      <c r="I13" s="47">
        <f>VLOOKUP(A13,'[1]M2 CÉNTRICO 09 FEB 2022'!$1:$1048576,11,0)</f>
        <v>47.506999999999998</v>
      </c>
      <c r="J13" s="47">
        <f>VLOOKUP(A13,'[1]M2 CÉNTRICO 09 FEB 2022'!$1:$1048576,12,0)</f>
        <v>2.7523</v>
      </c>
      <c r="K13" s="47">
        <f t="shared" si="0"/>
        <v>50.259299999999996</v>
      </c>
      <c r="L13" s="53">
        <v>165024</v>
      </c>
      <c r="M13" s="5">
        <f t="shared" si="1"/>
        <v>3283.4520178355051</v>
      </c>
      <c r="N13" s="6" t="s">
        <v>66</v>
      </c>
      <c r="O13" s="4" t="s">
        <v>57</v>
      </c>
      <c r="P13" s="4">
        <v>31546</v>
      </c>
      <c r="Q13" s="4" t="s">
        <v>60</v>
      </c>
      <c r="R13" s="4" t="s">
        <v>63</v>
      </c>
    </row>
    <row r="14" spans="1:18" x14ac:dyDescent="0.2">
      <c r="A14" s="4">
        <v>206</v>
      </c>
      <c r="B14" s="4" t="s">
        <v>4</v>
      </c>
      <c r="C14" s="4">
        <v>2</v>
      </c>
      <c r="D14" s="4" t="s">
        <v>5</v>
      </c>
      <c r="E14" s="4" t="s">
        <v>13</v>
      </c>
      <c r="F14" s="4">
        <v>1</v>
      </c>
      <c r="G14" s="4" t="s">
        <v>51</v>
      </c>
      <c r="H14" s="4">
        <f>VLOOKUP(A14,'[1]M2 CÉNTRICO 09 FEB 2022'!$1:$1048576,15,0)</f>
        <v>2.02</v>
      </c>
      <c r="I14" s="47">
        <f>VLOOKUP(A14,'[1]M2 CÉNTRICO 09 FEB 2022'!$1:$1048576,11,0)</f>
        <v>70.464200000000005</v>
      </c>
      <c r="J14" s="47">
        <f>VLOOKUP(A14,'[1]M2 CÉNTRICO 09 FEB 2022'!$1:$1048576,12,0)</f>
        <v>7.2164000000000001</v>
      </c>
      <c r="K14" s="47">
        <f t="shared" si="0"/>
        <v>77.680599999999998</v>
      </c>
      <c r="L14" s="53">
        <v>211000</v>
      </c>
      <c r="M14" s="5">
        <f>L14/K14</f>
        <v>2716.2509043441992</v>
      </c>
      <c r="N14" s="6" t="s">
        <v>18</v>
      </c>
    </row>
    <row r="15" spans="1:18" x14ac:dyDescent="0.2">
      <c r="A15" s="4">
        <v>301</v>
      </c>
      <c r="B15" s="4" t="s">
        <v>4</v>
      </c>
      <c r="C15" s="4">
        <v>3</v>
      </c>
      <c r="D15" s="4" t="s">
        <v>5</v>
      </c>
      <c r="E15" s="4" t="s">
        <v>14</v>
      </c>
      <c r="F15" s="4">
        <v>1</v>
      </c>
      <c r="G15" s="4" t="s">
        <v>51</v>
      </c>
      <c r="H15" s="4">
        <f>VLOOKUP(A15,'[1]M2 CÉNTRICO 09 FEB 2022'!$1:$1048576,15,0)</f>
        <v>2.11</v>
      </c>
      <c r="I15" s="47">
        <f>VLOOKUP(A15,'[1]M2 CÉNTRICO 09 FEB 2022'!$1:$1048576,11,0)</f>
        <v>70.464200000000005</v>
      </c>
      <c r="J15" s="47">
        <f>VLOOKUP(A15,'[1]M2 CÉNTRICO 09 FEB 2022'!$1:$1048576,12,0)</f>
        <v>7.2164000000000001</v>
      </c>
      <c r="K15" s="47">
        <f t="shared" si="0"/>
        <v>77.680599999999998</v>
      </c>
      <c r="L15" s="53">
        <v>214000</v>
      </c>
      <c r="M15" s="5">
        <f>L15/K15</f>
        <v>2754.8705854486193</v>
      </c>
      <c r="N15" s="6" t="s">
        <v>18</v>
      </c>
    </row>
    <row r="16" spans="1:18" x14ac:dyDescent="0.2">
      <c r="A16" s="4">
        <v>302</v>
      </c>
      <c r="B16" s="4" t="s">
        <v>6</v>
      </c>
      <c r="C16" s="4">
        <v>3</v>
      </c>
      <c r="D16" s="4" t="s">
        <v>7</v>
      </c>
      <c r="E16" s="4" t="s">
        <v>4</v>
      </c>
      <c r="F16" s="4">
        <v>1</v>
      </c>
      <c r="G16" s="4" t="s">
        <v>52</v>
      </c>
      <c r="H16" s="4">
        <f>VLOOKUP(A16,'[1]M2 CÉNTRICO 09 FEB 2022'!$1:$1048576,15,0)</f>
        <v>1.95</v>
      </c>
      <c r="I16" s="47">
        <f>VLOOKUP(A16,'[1]M2 CÉNTRICO 09 FEB 2022'!$1:$1048576,11,0)</f>
        <v>47.506999999999998</v>
      </c>
      <c r="J16" s="47">
        <f>VLOOKUP(A16,'[1]M2 CÉNTRICO 09 FEB 2022'!$1:$1048576,12,0)</f>
        <v>2.7523</v>
      </c>
      <c r="K16" s="47">
        <f t="shared" si="0"/>
        <v>50.259299999999996</v>
      </c>
      <c r="L16" s="53">
        <v>170000</v>
      </c>
      <c r="M16" s="5">
        <f t="shared" si="1"/>
        <v>3382.4585698567234</v>
      </c>
      <c r="N16" s="6" t="s">
        <v>18</v>
      </c>
    </row>
    <row r="17" spans="1:18" x14ac:dyDescent="0.2">
      <c r="A17" s="4">
        <v>303</v>
      </c>
      <c r="B17" s="4">
        <v>664</v>
      </c>
      <c r="C17" s="4">
        <v>3</v>
      </c>
      <c r="D17" s="4" t="s">
        <v>5</v>
      </c>
      <c r="E17" s="4" t="s">
        <v>4</v>
      </c>
      <c r="F17" s="4">
        <v>1</v>
      </c>
      <c r="G17" s="4" t="s">
        <v>51</v>
      </c>
      <c r="H17" s="4">
        <f>VLOOKUP(A17,'[1]M2 CÉNTRICO 09 FEB 2022'!$1:$1048576,15,0)</f>
        <v>2.02</v>
      </c>
      <c r="I17" s="47">
        <f>VLOOKUP(A17,'[1]M2 CÉNTRICO 09 FEB 2022'!$1:$1048576,11,0)</f>
        <v>67.0154</v>
      </c>
      <c r="J17" s="47">
        <f>VLOOKUP(A17,'[1]M2 CÉNTRICO 09 FEB 2022'!$1:$1048576,12,0)</f>
        <v>3.0459000000000001</v>
      </c>
      <c r="K17" s="47">
        <f t="shared" si="0"/>
        <v>70.061300000000003</v>
      </c>
      <c r="L17" s="53">
        <v>214000</v>
      </c>
      <c r="M17" s="5">
        <f>L5/K17</f>
        <v>3125.8340910031643</v>
      </c>
      <c r="N17" s="6" t="s">
        <v>18</v>
      </c>
    </row>
    <row r="18" spans="1:18" x14ac:dyDescent="0.2">
      <c r="A18" s="4">
        <v>304</v>
      </c>
      <c r="B18" s="4">
        <v>664</v>
      </c>
      <c r="C18" s="4">
        <v>3</v>
      </c>
      <c r="D18" s="4" t="s">
        <v>5</v>
      </c>
      <c r="E18" s="4" t="s">
        <v>4</v>
      </c>
      <c r="F18" s="4">
        <v>1</v>
      </c>
      <c r="G18" s="4" t="s">
        <v>51</v>
      </c>
      <c r="H18" s="4">
        <f>VLOOKUP(A18,'[1]M2 CÉNTRICO 09 FEB 2022'!$1:$1048576,15,0)</f>
        <v>2.11</v>
      </c>
      <c r="I18" s="47">
        <f>VLOOKUP(A18,'[1]M2 CÉNTRICO 09 FEB 2022'!$1:$1048576,11,0)</f>
        <v>67.0154</v>
      </c>
      <c r="J18" s="47">
        <f>VLOOKUP(A18,'[1]M2 CÉNTRICO 09 FEB 2022'!$1:$1048576,12,0)</f>
        <v>3.0459000000000001</v>
      </c>
      <c r="K18" s="47">
        <f t="shared" si="0"/>
        <v>70.061300000000003</v>
      </c>
      <c r="L18" s="53">
        <v>214000</v>
      </c>
      <c r="M18" s="5">
        <f>L6/K18</f>
        <v>3125.8340910031643</v>
      </c>
      <c r="N18" s="6" t="s">
        <v>18</v>
      </c>
    </row>
    <row r="19" spans="1:18" x14ac:dyDescent="0.2">
      <c r="A19" s="4">
        <v>305</v>
      </c>
      <c r="B19" s="4" t="s">
        <v>6</v>
      </c>
      <c r="C19" s="4">
        <v>3</v>
      </c>
      <c r="D19" s="4" t="s">
        <v>7</v>
      </c>
      <c r="E19" s="4" t="s">
        <v>4</v>
      </c>
      <c r="F19" s="4">
        <v>1</v>
      </c>
      <c r="G19" s="4" t="s">
        <v>52</v>
      </c>
      <c r="H19" s="4">
        <f>VLOOKUP(A19,'[1]M2 CÉNTRICO 09 FEB 2022'!$1:$1048576,15,0)</f>
        <v>1.95</v>
      </c>
      <c r="I19" s="47">
        <f>VLOOKUP(A19,'[1]M2 CÉNTRICO 09 FEB 2022'!$1:$1048576,11,0)</f>
        <v>47.506999999999998</v>
      </c>
      <c r="J19" s="47">
        <f>VLOOKUP(A19,'[1]M2 CÉNTRICO 09 FEB 2022'!$1:$1048576,12,0)</f>
        <v>2.7523</v>
      </c>
      <c r="K19" s="47">
        <f t="shared" si="0"/>
        <v>50.259299999999996</v>
      </c>
      <c r="L19" s="53">
        <v>169246</v>
      </c>
      <c r="M19" s="5">
        <f t="shared" si="1"/>
        <v>3367.4563712586528</v>
      </c>
      <c r="N19" s="6" t="s">
        <v>18</v>
      </c>
    </row>
    <row r="20" spans="1:18" x14ac:dyDescent="0.2">
      <c r="A20" s="4">
        <v>306</v>
      </c>
      <c r="B20" s="4" t="s">
        <v>4</v>
      </c>
      <c r="C20" s="4">
        <v>3</v>
      </c>
      <c r="D20" s="4" t="s">
        <v>5</v>
      </c>
      <c r="E20" s="4" t="s">
        <v>13</v>
      </c>
      <c r="F20" s="4">
        <v>1</v>
      </c>
      <c r="G20" s="4" t="s">
        <v>51</v>
      </c>
      <c r="H20" s="4">
        <f>VLOOKUP(A20,'[1]M2 CÉNTRICO 09 FEB 2022'!$1:$1048576,15,0)</f>
        <v>2.02</v>
      </c>
      <c r="I20" s="47">
        <f>VLOOKUP(A20,'[1]M2 CÉNTRICO 09 FEB 2022'!$1:$1048576,11,0)</f>
        <v>70.464200000000005</v>
      </c>
      <c r="J20" s="47">
        <f>VLOOKUP(A20,'[1]M2 CÉNTRICO 09 FEB 2022'!$1:$1048576,12,0)</f>
        <v>7.2164000000000001</v>
      </c>
      <c r="K20" s="47">
        <f t="shared" si="0"/>
        <v>77.680599999999998</v>
      </c>
      <c r="L20" s="53">
        <v>213000</v>
      </c>
      <c r="M20" s="5">
        <f>L20/K20</f>
        <v>2741.9973584138124</v>
      </c>
      <c r="N20" s="6" t="s">
        <v>18</v>
      </c>
    </row>
    <row r="21" spans="1:18" s="9" customFormat="1" x14ac:dyDescent="0.2">
      <c r="A21" s="7">
        <v>401</v>
      </c>
      <c r="B21" s="7" t="s">
        <v>4</v>
      </c>
      <c r="C21" s="7">
        <v>4</v>
      </c>
      <c r="D21" s="7" t="s">
        <v>5</v>
      </c>
      <c r="E21" s="7" t="s">
        <v>14</v>
      </c>
      <c r="F21" s="7">
        <v>2</v>
      </c>
      <c r="G21" s="7" t="s">
        <v>51</v>
      </c>
      <c r="H21" s="50">
        <f>VLOOKUP(A21,'[1]M2 CÉNTRICO 09 FEB 2022'!$1:$1048576,15,0)</f>
        <v>2.11</v>
      </c>
      <c r="I21" s="50">
        <f>VLOOKUP(A21,'[1]M2 CÉNTRICO 09 FEB 2022'!$1:$1048576,11,0)</f>
        <v>70.464200000000005</v>
      </c>
      <c r="J21" s="50">
        <f>VLOOKUP(A21,'[1]M2 CÉNTRICO 09 FEB 2022'!$1:$1048576,12,0)</f>
        <v>7.2164000000000001</v>
      </c>
      <c r="K21" s="50">
        <f t="shared" si="0"/>
        <v>77.680599999999998</v>
      </c>
      <c r="L21" s="54">
        <v>230000</v>
      </c>
      <c r="M21" s="8">
        <f t="shared" si="1"/>
        <v>2960.8422180055254</v>
      </c>
      <c r="N21" s="6" t="s">
        <v>18</v>
      </c>
      <c r="O21" s="7"/>
      <c r="P21" s="7"/>
      <c r="Q21" s="7"/>
      <c r="R21" s="7"/>
    </row>
    <row r="22" spans="1:18" s="9" customFormat="1" x14ac:dyDescent="0.2">
      <c r="A22" s="7">
        <v>402</v>
      </c>
      <c r="B22" s="7" t="s">
        <v>6</v>
      </c>
      <c r="C22" s="7">
        <v>4</v>
      </c>
      <c r="D22" s="7" t="s">
        <v>7</v>
      </c>
      <c r="E22" s="7" t="s">
        <v>4</v>
      </c>
      <c r="F22" s="7">
        <v>1</v>
      </c>
      <c r="G22" s="7" t="s">
        <v>51</v>
      </c>
      <c r="H22" s="50">
        <f>VLOOKUP(A22,'[1]M2 CÉNTRICO 09 FEB 2022'!$1:$1048576,15,0)</f>
        <v>1.95</v>
      </c>
      <c r="I22" s="50">
        <f>VLOOKUP(A22,'[1]M2 CÉNTRICO 09 FEB 2022'!$1:$1048576,11,0)</f>
        <v>47.506999999999998</v>
      </c>
      <c r="J22" s="50">
        <f>VLOOKUP(A22,'[1]M2 CÉNTRICO 09 FEB 2022'!$1:$1048576,12,0)</f>
        <v>2.7523</v>
      </c>
      <c r="K22" s="50">
        <f t="shared" si="0"/>
        <v>50.259299999999996</v>
      </c>
      <c r="L22" s="54">
        <v>175000</v>
      </c>
      <c r="M22" s="8">
        <f t="shared" si="1"/>
        <v>3481.9426454407444</v>
      </c>
      <c r="N22" s="6" t="s">
        <v>18</v>
      </c>
      <c r="O22" s="7"/>
      <c r="P22" s="7"/>
      <c r="Q22" s="7"/>
      <c r="R22" s="7"/>
    </row>
    <row r="23" spans="1:18" s="9" customFormat="1" x14ac:dyDescent="0.2">
      <c r="A23" s="7">
        <v>403</v>
      </c>
      <c r="B23" s="7">
        <v>664</v>
      </c>
      <c r="C23" s="7">
        <v>4</v>
      </c>
      <c r="D23" s="7" t="s">
        <v>5</v>
      </c>
      <c r="E23" s="7" t="s">
        <v>4</v>
      </c>
      <c r="F23" s="7">
        <v>1</v>
      </c>
      <c r="G23" s="7" t="s">
        <v>51</v>
      </c>
      <c r="H23" s="50">
        <f>VLOOKUP(A23,'[1]M2 CÉNTRICO 09 FEB 2022'!$1:$1048576,15,0)</f>
        <v>2.02</v>
      </c>
      <c r="I23" s="50">
        <f>VLOOKUP(A23,'[1]M2 CÉNTRICO 09 FEB 2022'!$1:$1048576,11,0)</f>
        <v>67.0154</v>
      </c>
      <c r="J23" s="50">
        <f>VLOOKUP(A23,'[1]M2 CÉNTRICO 09 FEB 2022'!$1:$1048576,12,0)</f>
        <v>3.0459000000000001</v>
      </c>
      <c r="K23" s="50">
        <f t="shared" si="0"/>
        <v>70.061300000000003</v>
      </c>
      <c r="L23" s="54">
        <v>222000</v>
      </c>
      <c r="M23" s="8">
        <f t="shared" si="1"/>
        <v>3168.6537360853995</v>
      </c>
      <c r="N23" s="6" t="s">
        <v>18</v>
      </c>
      <c r="O23" s="7"/>
      <c r="P23" s="7"/>
      <c r="Q23" s="7"/>
      <c r="R23" s="7"/>
    </row>
    <row r="24" spans="1:18" s="9" customFormat="1" x14ac:dyDescent="0.2">
      <c r="A24" s="7">
        <v>404</v>
      </c>
      <c r="B24" s="7">
        <v>664</v>
      </c>
      <c r="C24" s="7">
        <v>4</v>
      </c>
      <c r="D24" s="7" t="s">
        <v>5</v>
      </c>
      <c r="E24" s="7" t="s">
        <v>4</v>
      </c>
      <c r="F24" s="7">
        <v>1</v>
      </c>
      <c r="G24" s="7" t="s">
        <v>51</v>
      </c>
      <c r="H24" s="50">
        <f>VLOOKUP(A24,'[1]M2 CÉNTRICO 09 FEB 2022'!$1:$1048576,15,0)</f>
        <v>2.11</v>
      </c>
      <c r="I24" s="50">
        <f>VLOOKUP(A24,'[1]M2 CÉNTRICO 09 FEB 2022'!$1:$1048576,11,0)</f>
        <v>67.0154</v>
      </c>
      <c r="J24" s="50">
        <f>VLOOKUP(A24,'[1]M2 CÉNTRICO 09 FEB 2022'!$1:$1048576,12,0)</f>
        <v>3.0459000000000001</v>
      </c>
      <c r="K24" s="50">
        <f t="shared" si="0"/>
        <v>70.061300000000003</v>
      </c>
      <c r="L24" s="54">
        <v>222000</v>
      </c>
      <c r="M24" s="8">
        <f t="shared" si="1"/>
        <v>3168.6537360853995</v>
      </c>
      <c r="N24" s="6" t="s">
        <v>18</v>
      </c>
      <c r="O24" s="7"/>
      <c r="P24" s="7"/>
      <c r="Q24" s="7"/>
      <c r="R24" s="7"/>
    </row>
    <row r="25" spans="1:18" s="9" customFormat="1" hidden="1" x14ac:dyDescent="0.2">
      <c r="A25" s="7">
        <v>405</v>
      </c>
      <c r="B25" s="7" t="s">
        <v>6</v>
      </c>
      <c r="C25" s="7">
        <v>4</v>
      </c>
      <c r="D25" s="7" t="s">
        <v>7</v>
      </c>
      <c r="E25" s="7" t="s">
        <v>4</v>
      </c>
      <c r="F25" s="7">
        <v>1</v>
      </c>
      <c r="G25" s="7" t="s">
        <v>51</v>
      </c>
      <c r="H25" s="50">
        <f>VLOOKUP(A25,'[1]M2 CÉNTRICO 09 FEB 2022'!$1:$1048576,15,0)</f>
        <v>1.95</v>
      </c>
      <c r="I25" s="50">
        <f>VLOOKUP(A25,'[1]M2 CÉNTRICO 09 FEB 2022'!$1:$1048576,11,0)</f>
        <v>47.506999999999998</v>
      </c>
      <c r="J25" s="50">
        <f>VLOOKUP(A25,'[1]M2 CÉNTRICO 09 FEB 2022'!$1:$1048576,12,0)</f>
        <v>2.7523</v>
      </c>
      <c r="K25" s="50">
        <f t="shared" si="0"/>
        <v>50.259299999999996</v>
      </c>
      <c r="L25" s="54">
        <v>174500</v>
      </c>
      <c r="M25" s="8">
        <f t="shared" si="1"/>
        <v>3471.9942378823425</v>
      </c>
      <c r="N25" s="6" t="s">
        <v>66</v>
      </c>
      <c r="O25" s="7" t="s">
        <v>57</v>
      </c>
      <c r="P25" s="7">
        <v>31553</v>
      </c>
      <c r="Q25" s="7" t="s">
        <v>67</v>
      </c>
      <c r="R25" s="7" t="s">
        <v>68</v>
      </c>
    </row>
    <row r="26" spans="1:18" s="9" customFormat="1" x14ac:dyDescent="0.2">
      <c r="A26" s="7">
        <v>406</v>
      </c>
      <c r="B26" s="7" t="s">
        <v>4</v>
      </c>
      <c r="C26" s="7">
        <v>4</v>
      </c>
      <c r="D26" s="7" t="s">
        <v>5</v>
      </c>
      <c r="E26" s="7" t="s">
        <v>13</v>
      </c>
      <c r="F26" s="7">
        <v>2</v>
      </c>
      <c r="G26" s="7" t="s">
        <v>51</v>
      </c>
      <c r="H26" s="50">
        <f>VLOOKUP(A26,'[1]M2 CÉNTRICO 09 FEB 2022'!$1:$1048576,15,0)</f>
        <v>2.02</v>
      </c>
      <c r="I26" s="50">
        <f>VLOOKUP(A26,'[1]M2 CÉNTRICO 09 FEB 2022'!$1:$1048576,11,0)</f>
        <v>70.464200000000005</v>
      </c>
      <c r="J26" s="50">
        <f>VLOOKUP(A26,'[1]M2 CÉNTRICO 09 FEB 2022'!$1:$1048576,12,0)</f>
        <v>7.2164000000000001</v>
      </c>
      <c r="K26" s="50">
        <f t="shared" si="0"/>
        <v>77.680599999999998</v>
      </c>
      <c r="L26" s="54">
        <v>235000</v>
      </c>
      <c r="M26" s="8">
        <f t="shared" si="1"/>
        <v>3025.2083531795583</v>
      </c>
      <c r="N26" s="6" t="s">
        <v>18</v>
      </c>
      <c r="O26" s="7"/>
      <c r="P26" s="7"/>
      <c r="Q26" s="7"/>
      <c r="R26" s="7"/>
    </row>
    <row r="27" spans="1:18" x14ac:dyDescent="0.2">
      <c r="A27" s="4">
        <v>501</v>
      </c>
      <c r="B27" s="4" t="s">
        <v>4</v>
      </c>
      <c r="C27" s="4">
        <v>5</v>
      </c>
      <c r="D27" s="4" t="s">
        <v>5</v>
      </c>
      <c r="E27" s="4" t="s">
        <v>14</v>
      </c>
      <c r="F27" s="4">
        <v>2</v>
      </c>
      <c r="G27" s="4" t="s">
        <v>51</v>
      </c>
      <c r="H27" s="4">
        <f>VLOOKUP(A27,'[1]M2 CÉNTRICO 09 FEB 2022'!$1:$1048576,15,0)</f>
        <v>2.11</v>
      </c>
      <c r="I27" s="47">
        <f>VLOOKUP(A27,'[1]M2 CÉNTRICO 09 FEB 2022'!$1:$1048576,11,0)</f>
        <v>70.464200000000005</v>
      </c>
      <c r="J27" s="47">
        <f>VLOOKUP(A27,'[1]M2 CÉNTRICO 09 FEB 2022'!$1:$1048576,12,0)</f>
        <v>7.2164000000000001</v>
      </c>
      <c r="K27" s="47">
        <f t="shared" si="0"/>
        <v>77.680599999999998</v>
      </c>
      <c r="L27" s="53">
        <v>245000</v>
      </c>
      <c r="M27" s="5">
        <f t="shared" si="1"/>
        <v>3153.9406235276247</v>
      </c>
      <c r="N27" s="6" t="s">
        <v>18</v>
      </c>
    </row>
    <row r="28" spans="1:18" x14ac:dyDescent="0.2">
      <c r="A28" s="4">
        <v>502</v>
      </c>
      <c r="B28" s="4" t="s">
        <v>6</v>
      </c>
      <c r="C28" s="4">
        <v>5</v>
      </c>
      <c r="D28" s="4" t="s">
        <v>7</v>
      </c>
      <c r="E28" s="4" t="s">
        <v>4</v>
      </c>
      <c r="F28" s="4">
        <v>1</v>
      </c>
      <c r="G28" s="4" t="s">
        <v>51</v>
      </c>
      <c r="H28" s="4">
        <f>VLOOKUP(A28,'[1]M2 CÉNTRICO 09 FEB 2022'!$1:$1048576,15,0)</f>
        <v>1.95</v>
      </c>
      <c r="I28" s="47">
        <f>VLOOKUP(A28,'[1]M2 CÉNTRICO 09 FEB 2022'!$1:$1048576,11,0)</f>
        <v>47.506999999999998</v>
      </c>
      <c r="J28" s="47">
        <f>VLOOKUP(A28,'[1]M2 CÉNTRICO 09 FEB 2022'!$1:$1048576,12,0)</f>
        <v>2.7523</v>
      </c>
      <c r="K28" s="47">
        <f t="shared" si="0"/>
        <v>50.259299999999996</v>
      </c>
      <c r="L28" s="53">
        <v>176000</v>
      </c>
      <c r="M28" s="5">
        <f t="shared" si="1"/>
        <v>3501.839460557549</v>
      </c>
      <c r="N28" s="6" t="s">
        <v>18</v>
      </c>
    </row>
    <row r="29" spans="1:18" x14ac:dyDescent="0.2">
      <c r="A29" s="4">
        <v>503</v>
      </c>
      <c r="B29" s="4">
        <v>664</v>
      </c>
      <c r="C29" s="4">
        <v>5</v>
      </c>
      <c r="D29" s="4" t="s">
        <v>5</v>
      </c>
      <c r="E29" s="4" t="s">
        <v>4</v>
      </c>
      <c r="F29" s="4">
        <v>1</v>
      </c>
      <c r="G29" s="4" t="s">
        <v>51</v>
      </c>
      <c r="H29" s="4">
        <f>VLOOKUP(A29,'[1]M2 CÉNTRICO 09 FEB 2022'!$1:$1048576,15,0)</f>
        <v>2.02</v>
      </c>
      <c r="I29" s="47">
        <f>VLOOKUP(A29,'[1]M2 CÉNTRICO 09 FEB 2022'!$1:$1048576,11,0)</f>
        <v>67.0154</v>
      </c>
      <c r="J29" s="47">
        <f>VLOOKUP(A29,'[1]M2 CÉNTRICO 09 FEB 2022'!$1:$1048576,12,0)</f>
        <v>3.0459000000000001</v>
      </c>
      <c r="K29" s="47">
        <f t="shared" si="0"/>
        <v>70.061300000000003</v>
      </c>
      <c r="L29" s="53">
        <v>230000</v>
      </c>
      <c r="M29" s="5">
        <f t="shared" si="1"/>
        <v>3282.8394563046932</v>
      </c>
      <c r="N29" s="6" t="s">
        <v>18</v>
      </c>
    </row>
    <row r="30" spans="1:18" x14ac:dyDescent="0.2">
      <c r="A30" s="4">
        <v>504</v>
      </c>
      <c r="B30" s="4">
        <v>664</v>
      </c>
      <c r="C30" s="4">
        <v>5</v>
      </c>
      <c r="D30" s="4" t="s">
        <v>5</v>
      </c>
      <c r="E30" s="4" t="s">
        <v>4</v>
      </c>
      <c r="F30" s="4">
        <v>1</v>
      </c>
      <c r="G30" s="4" t="s">
        <v>51</v>
      </c>
      <c r="H30" s="4">
        <f>VLOOKUP(A30,'[1]M2 CÉNTRICO 09 FEB 2022'!$1:$1048576,15,0)</f>
        <v>2.11</v>
      </c>
      <c r="I30" s="47">
        <f>VLOOKUP(A30,'[1]M2 CÉNTRICO 09 FEB 2022'!$1:$1048576,11,0)</f>
        <v>67.0154</v>
      </c>
      <c r="J30" s="47">
        <f>VLOOKUP(A30,'[1]M2 CÉNTRICO 09 FEB 2022'!$1:$1048576,12,0)</f>
        <v>3.0459000000000001</v>
      </c>
      <c r="K30" s="47">
        <f t="shared" si="0"/>
        <v>70.061300000000003</v>
      </c>
      <c r="L30" s="53">
        <v>230000</v>
      </c>
      <c r="M30" s="5">
        <f t="shared" si="1"/>
        <v>3282.8394563046932</v>
      </c>
      <c r="N30" s="6" t="s">
        <v>18</v>
      </c>
    </row>
    <row r="31" spans="1:18" x14ac:dyDescent="0.2">
      <c r="A31" s="4">
        <v>505</v>
      </c>
      <c r="B31" s="4" t="s">
        <v>6</v>
      </c>
      <c r="C31" s="4">
        <v>5</v>
      </c>
      <c r="D31" s="4" t="s">
        <v>7</v>
      </c>
      <c r="E31" s="4" t="s">
        <v>4</v>
      </c>
      <c r="F31" s="4">
        <v>1</v>
      </c>
      <c r="G31" s="4" t="s">
        <v>51</v>
      </c>
      <c r="H31" s="4">
        <f>VLOOKUP(A31,'[1]M2 CÉNTRICO 09 FEB 2022'!$1:$1048576,15,0)</f>
        <v>1.95</v>
      </c>
      <c r="I31" s="47">
        <f>VLOOKUP(A31,'[1]M2 CÉNTRICO 09 FEB 2022'!$1:$1048576,11,0)</f>
        <v>47.506999999999998</v>
      </c>
      <c r="J31" s="47">
        <f>VLOOKUP(A31,'[1]M2 CÉNTRICO 09 FEB 2022'!$1:$1048576,12,0)</f>
        <v>2.7523</v>
      </c>
      <c r="K31" s="47">
        <f t="shared" si="0"/>
        <v>50.259299999999996</v>
      </c>
      <c r="L31" s="53">
        <v>176000</v>
      </c>
      <c r="M31" s="5">
        <f t="shared" si="1"/>
        <v>3501.839460557549</v>
      </c>
      <c r="N31" s="6" t="s">
        <v>18</v>
      </c>
    </row>
    <row r="32" spans="1:18" x14ac:dyDescent="0.2">
      <c r="A32" s="4">
        <v>506</v>
      </c>
      <c r="B32" s="4" t="s">
        <v>4</v>
      </c>
      <c r="C32" s="4">
        <v>5</v>
      </c>
      <c r="D32" s="4" t="s">
        <v>5</v>
      </c>
      <c r="E32" s="4" t="s">
        <v>13</v>
      </c>
      <c r="F32" s="4">
        <v>2</v>
      </c>
      <c r="G32" s="4" t="s">
        <v>51</v>
      </c>
      <c r="H32" s="4">
        <f>VLOOKUP(A32,'[1]M2 CÉNTRICO 09 FEB 2022'!$1:$1048576,15,0)</f>
        <v>2.02</v>
      </c>
      <c r="I32" s="47">
        <f>VLOOKUP(A32,'[1]M2 CÉNTRICO 09 FEB 2022'!$1:$1048576,11,0)</f>
        <v>70.464200000000005</v>
      </c>
      <c r="J32" s="47">
        <f>VLOOKUP(A32,'[1]M2 CÉNTRICO 09 FEB 2022'!$1:$1048576,12,0)</f>
        <v>7.2164000000000001</v>
      </c>
      <c r="K32" s="47">
        <f t="shared" si="0"/>
        <v>77.680599999999998</v>
      </c>
      <c r="L32" s="53">
        <v>247000</v>
      </c>
      <c r="M32" s="5">
        <f t="shared" si="1"/>
        <v>3179.6870775972379</v>
      </c>
      <c r="N32" s="6" t="s">
        <v>18</v>
      </c>
    </row>
    <row r="33" spans="1:18" x14ac:dyDescent="0.2">
      <c r="A33" s="4">
        <v>601</v>
      </c>
      <c r="B33" s="4" t="s">
        <v>4</v>
      </c>
      <c r="C33" s="4">
        <v>6</v>
      </c>
      <c r="D33" s="4" t="s">
        <v>5</v>
      </c>
      <c r="E33" s="4" t="s">
        <v>14</v>
      </c>
      <c r="F33" s="4">
        <v>2</v>
      </c>
      <c r="G33" s="4" t="s">
        <v>51</v>
      </c>
      <c r="H33" s="4">
        <f>VLOOKUP(A33,'[1]M2 CÉNTRICO 09 FEB 2022'!$1:$1048576,15,0)</f>
        <v>2.11</v>
      </c>
      <c r="I33" s="47">
        <f>VLOOKUP(A33,'[1]M2 CÉNTRICO 09 FEB 2022'!$1:$1048576,11,0)</f>
        <v>70.464200000000005</v>
      </c>
      <c r="J33" s="47">
        <f>VLOOKUP(A33,'[1]M2 CÉNTRICO 09 FEB 2022'!$1:$1048576,12,0)</f>
        <v>7.2164000000000001</v>
      </c>
      <c r="K33" s="47">
        <f t="shared" si="0"/>
        <v>77.680599999999998</v>
      </c>
      <c r="L33" s="53">
        <v>253000</v>
      </c>
      <c r="M33" s="5">
        <f t="shared" si="1"/>
        <v>3256.9264398060777</v>
      </c>
      <c r="N33" s="6" t="s">
        <v>18</v>
      </c>
    </row>
    <row r="34" spans="1:18" x14ac:dyDescent="0.2">
      <c r="A34" s="4">
        <v>602</v>
      </c>
      <c r="B34" s="4" t="s">
        <v>6</v>
      </c>
      <c r="C34" s="4">
        <v>6</v>
      </c>
      <c r="D34" s="4" t="s">
        <v>7</v>
      </c>
      <c r="E34" s="4" t="s">
        <v>4</v>
      </c>
      <c r="F34" s="4">
        <v>1</v>
      </c>
      <c r="G34" s="4" t="s">
        <v>51</v>
      </c>
      <c r="H34" s="4">
        <f>VLOOKUP(A34,'[1]M2 CÉNTRICO 09 FEB 2022'!$1:$1048576,15,0)</f>
        <v>1.95</v>
      </c>
      <c r="I34" s="47">
        <f>VLOOKUP(A34,'[1]M2 CÉNTRICO 09 FEB 2022'!$1:$1048576,11,0)</f>
        <v>47.506999999999998</v>
      </c>
      <c r="J34" s="47">
        <f>VLOOKUP(A34,'[1]M2 CÉNTRICO 09 FEB 2022'!$1:$1048576,12,0)</f>
        <v>2.7523</v>
      </c>
      <c r="K34" s="47">
        <f t="shared" si="0"/>
        <v>50.259299999999996</v>
      </c>
      <c r="L34" s="53">
        <v>180000</v>
      </c>
      <c r="M34" s="5">
        <f t="shared" si="1"/>
        <v>3581.4267210247658</v>
      </c>
      <c r="N34" s="6" t="s">
        <v>18</v>
      </c>
    </row>
    <row r="35" spans="1:18" x14ac:dyDescent="0.2">
      <c r="A35" s="4">
        <v>603</v>
      </c>
      <c r="B35" s="4">
        <v>664</v>
      </c>
      <c r="C35" s="4">
        <v>6</v>
      </c>
      <c r="D35" s="4" t="s">
        <v>5</v>
      </c>
      <c r="E35" s="4" t="s">
        <v>4</v>
      </c>
      <c r="F35" s="4">
        <v>2</v>
      </c>
      <c r="G35" s="4" t="s">
        <v>51</v>
      </c>
      <c r="H35" s="4">
        <f>VLOOKUP(A35,'[1]M2 CÉNTRICO 09 FEB 2022'!$1:$1048576,15,0)</f>
        <v>2.02</v>
      </c>
      <c r="I35" s="47">
        <f>VLOOKUP(A35,'[1]M2 CÉNTRICO 09 FEB 2022'!$1:$1048576,11,0)</f>
        <v>67.0154</v>
      </c>
      <c r="J35" s="47">
        <f>VLOOKUP(A35,'[1]M2 CÉNTRICO 09 FEB 2022'!$1:$1048576,12,0)</f>
        <v>3.0459000000000001</v>
      </c>
      <c r="K35" s="47">
        <f t="shared" si="0"/>
        <v>70.061300000000003</v>
      </c>
      <c r="L35" s="53">
        <v>241000</v>
      </c>
      <c r="M35" s="5">
        <f t="shared" si="1"/>
        <v>3439.844821606222</v>
      </c>
      <c r="N35" s="6" t="s">
        <v>18</v>
      </c>
    </row>
    <row r="36" spans="1:18" x14ac:dyDescent="0.2">
      <c r="A36" s="4">
        <v>604</v>
      </c>
      <c r="B36" s="4">
        <v>664</v>
      </c>
      <c r="C36" s="4">
        <v>6</v>
      </c>
      <c r="D36" s="4" t="s">
        <v>5</v>
      </c>
      <c r="E36" s="4" t="s">
        <v>4</v>
      </c>
      <c r="F36" s="4">
        <v>2</v>
      </c>
      <c r="G36" s="4" t="s">
        <v>51</v>
      </c>
      <c r="H36" s="4">
        <f>VLOOKUP(A36,'[1]M2 CÉNTRICO 09 FEB 2022'!$1:$1048576,15,0)</f>
        <v>2.11</v>
      </c>
      <c r="I36" s="47">
        <f>VLOOKUP(A36,'[1]M2 CÉNTRICO 09 FEB 2022'!$1:$1048576,11,0)</f>
        <v>67.0154</v>
      </c>
      <c r="J36" s="47">
        <f>VLOOKUP(A36,'[1]M2 CÉNTRICO 09 FEB 2022'!$1:$1048576,12,0)</f>
        <v>3.0459000000000001</v>
      </c>
      <c r="K36" s="47">
        <f t="shared" si="0"/>
        <v>70.061300000000003</v>
      </c>
      <c r="L36" s="53">
        <v>241000</v>
      </c>
      <c r="M36" s="5">
        <f t="shared" si="1"/>
        <v>3439.844821606222</v>
      </c>
      <c r="N36" s="6" t="s">
        <v>18</v>
      </c>
    </row>
    <row r="37" spans="1:18" x14ac:dyDescent="0.2">
      <c r="A37" s="4">
        <v>605</v>
      </c>
      <c r="B37" s="4" t="s">
        <v>6</v>
      </c>
      <c r="C37" s="4">
        <v>6</v>
      </c>
      <c r="D37" s="4" t="s">
        <v>7</v>
      </c>
      <c r="E37" s="4" t="s">
        <v>4</v>
      </c>
      <c r="F37" s="4">
        <v>1</v>
      </c>
      <c r="G37" s="4" t="s">
        <v>51</v>
      </c>
      <c r="H37" s="4">
        <f>VLOOKUP(A37,'[1]M2 CÉNTRICO 09 FEB 2022'!$1:$1048576,15,0)</f>
        <v>1.95</v>
      </c>
      <c r="I37" s="47">
        <f>VLOOKUP(A37,'[1]M2 CÉNTRICO 09 FEB 2022'!$1:$1048576,11,0)</f>
        <v>47.506999999999998</v>
      </c>
      <c r="J37" s="47">
        <f>VLOOKUP(A37,'[1]M2 CÉNTRICO 09 FEB 2022'!$1:$1048576,12,0)</f>
        <v>2.7523</v>
      </c>
      <c r="K37" s="47">
        <f t="shared" si="0"/>
        <v>50.259299999999996</v>
      </c>
      <c r="L37" s="53">
        <v>180000</v>
      </c>
      <c r="M37" s="5">
        <f t="shared" si="1"/>
        <v>3581.4267210247658</v>
      </c>
      <c r="N37" s="6" t="s">
        <v>18</v>
      </c>
    </row>
    <row r="38" spans="1:18" hidden="1" x14ac:dyDescent="0.2">
      <c r="A38" s="4">
        <v>606</v>
      </c>
      <c r="B38" s="4" t="s">
        <v>4</v>
      </c>
      <c r="C38" s="4">
        <v>6</v>
      </c>
      <c r="D38" s="4" t="s">
        <v>5</v>
      </c>
      <c r="E38" s="4" t="s">
        <v>13</v>
      </c>
      <c r="F38" s="4">
        <v>2</v>
      </c>
      <c r="G38" s="4" t="s">
        <v>51</v>
      </c>
      <c r="H38" s="4">
        <f>VLOOKUP(A38,'[1]M2 CÉNTRICO 09 FEB 2022'!$1:$1048576,15,0)</f>
        <v>2.02</v>
      </c>
      <c r="I38" s="47">
        <f>VLOOKUP(A38,'[1]M2 CÉNTRICO 09 FEB 2022'!$1:$1048576,11,0)</f>
        <v>70.464200000000005</v>
      </c>
      <c r="J38" s="47">
        <f>VLOOKUP(A38,'[1]M2 CÉNTRICO 09 FEB 2022'!$1:$1048576,12,0)</f>
        <v>7.2164000000000001</v>
      </c>
      <c r="K38" s="47">
        <f t="shared" si="0"/>
        <v>77.680599999999998</v>
      </c>
      <c r="L38" s="53">
        <v>253552</v>
      </c>
      <c r="M38" s="5">
        <f t="shared" si="1"/>
        <v>3264.0324611292908</v>
      </c>
      <c r="N38" s="6" t="s">
        <v>66</v>
      </c>
      <c r="O38" s="4" t="s">
        <v>64</v>
      </c>
      <c r="P38" s="4">
        <v>31554</v>
      </c>
      <c r="Q38" s="4" t="s">
        <v>69</v>
      </c>
      <c r="R38" s="4" t="s">
        <v>63</v>
      </c>
    </row>
    <row r="39" spans="1:18" x14ac:dyDescent="0.2">
      <c r="A39" s="4">
        <v>701</v>
      </c>
      <c r="B39" s="4" t="s">
        <v>8</v>
      </c>
      <c r="C39" s="4">
        <v>7</v>
      </c>
      <c r="D39" s="4" t="s">
        <v>5</v>
      </c>
      <c r="E39" s="4" t="s">
        <v>14</v>
      </c>
      <c r="F39" s="4">
        <v>2</v>
      </c>
      <c r="G39" s="4" t="s">
        <v>51</v>
      </c>
      <c r="H39" s="4">
        <f>VLOOKUP(A39,'[1]M2 CÉNTRICO 09 FEB 2022'!$1:$1048576,15,0)</f>
        <v>2.11</v>
      </c>
      <c r="I39" s="47">
        <f>VLOOKUP(A39,'[1]M2 CÉNTRICO 09 FEB 2022'!$1:$1048576,11,0)</f>
        <v>72.769000000000005</v>
      </c>
      <c r="J39" s="47">
        <f>VLOOKUP(A39,'[1]M2 CÉNTRICO 09 FEB 2022'!$1:$1048576,12,0)</f>
        <v>18.753299999999999</v>
      </c>
      <c r="K39" s="47">
        <f t="shared" si="0"/>
        <v>91.522300000000001</v>
      </c>
      <c r="L39" s="53">
        <v>289000</v>
      </c>
      <c r="M39" s="5">
        <f t="shared" si="1"/>
        <v>3157.7003637364883</v>
      </c>
      <c r="N39" s="6" t="s">
        <v>18</v>
      </c>
    </row>
    <row r="40" spans="1:18" x14ac:dyDescent="0.2">
      <c r="A40" s="4">
        <v>702</v>
      </c>
      <c r="B40" s="4" t="s">
        <v>6</v>
      </c>
      <c r="C40" s="4">
        <v>7</v>
      </c>
      <c r="D40" s="4" t="s">
        <v>7</v>
      </c>
      <c r="E40" s="4" t="s">
        <v>4</v>
      </c>
      <c r="F40" s="4">
        <v>1</v>
      </c>
      <c r="G40" s="4" t="s">
        <v>51</v>
      </c>
      <c r="H40" s="4">
        <f>VLOOKUP(A40,'[1]M2 CÉNTRICO 09 FEB 2022'!$1:$1048576,15,0)</f>
        <v>1.95</v>
      </c>
      <c r="I40" s="47">
        <f>VLOOKUP(A40,'[1]M2 CÉNTRICO 09 FEB 2022'!$1:$1048576,11,0)</f>
        <v>47.506999999999998</v>
      </c>
      <c r="J40" s="47">
        <f>VLOOKUP(A40,'[1]M2 CÉNTRICO 09 FEB 2022'!$1:$1048576,12,0)</f>
        <v>2.7523</v>
      </c>
      <c r="K40" s="47">
        <f t="shared" si="0"/>
        <v>50.259299999999996</v>
      </c>
      <c r="L40" s="53">
        <v>185000</v>
      </c>
      <c r="M40" s="5">
        <f t="shared" si="1"/>
        <v>3680.9107966087872</v>
      </c>
      <c r="N40" s="6" t="s">
        <v>18</v>
      </c>
    </row>
    <row r="41" spans="1:18" x14ac:dyDescent="0.2">
      <c r="A41" s="4">
        <v>703</v>
      </c>
      <c r="B41" s="4">
        <v>664</v>
      </c>
      <c r="C41" s="4">
        <v>7</v>
      </c>
      <c r="D41" s="4" t="s">
        <v>5</v>
      </c>
      <c r="E41" s="4" t="s">
        <v>4</v>
      </c>
      <c r="F41" s="4">
        <v>2</v>
      </c>
      <c r="G41" s="4" t="s">
        <v>51</v>
      </c>
      <c r="H41" s="4">
        <f>VLOOKUP(A41,'[1]M2 CÉNTRICO 09 FEB 2022'!$1:$1048576,15,0)</f>
        <v>2.02</v>
      </c>
      <c r="I41" s="47">
        <f>VLOOKUP(A41,'[1]M2 CÉNTRICO 09 FEB 2022'!$1:$1048576,11,0)</f>
        <v>67.0154</v>
      </c>
      <c r="J41" s="47">
        <f>VLOOKUP(A41,'[1]M2 CÉNTRICO 09 FEB 2022'!$1:$1048576,12,0)</f>
        <v>3.0459000000000001</v>
      </c>
      <c r="K41" s="47">
        <f t="shared" si="0"/>
        <v>70.061300000000003</v>
      </c>
      <c r="L41" s="53">
        <v>247000</v>
      </c>
      <c r="M41" s="5">
        <f t="shared" si="1"/>
        <v>3525.4841117706919</v>
      </c>
      <c r="N41" s="6" t="s">
        <v>18</v>
      </c>
    </row>
    <row r="42" spans="1:18" x14ac:dyDescent="0.2">
      <c r="A42" s="4">
        <v>704</v>
      </c>
      <c r="B42" s="4">
        <v>664</v>
      </c>
      <c r="C42" s="4">
        <v>7</v>
      </c>
      <c r="D42" s="4" t="s">
        <v>5</v>
      </c>
      <c r="E42" s="4" t="s">
        <v>4</v>
      </c>
      <c r="F42" s="4">
        <v>2</v>
      </c>
      <c r="G42" s="4" t="s">
        <v>51</v>
      </c>
      <c r="H42" s="4">
        <f>VLOOKUP(A42,'[1]M2 CÉNTRICO 09 FEB 2022'!$1:$1048576,15,0)</f>
        <v>2.11</v>
      </c>
      <c r="I42" s="47">
        <f>VLOOKUP(A42,'[1]M2 CÉNTRICO 09 FEB 2022'!$1:$1048576,11,0)</f>
        <v>67.0154</v>
      </c>
      <c r="J42" s="47">
        <f>VLOOKUP(A42,'[1]M2 CÉNTRICO 09 FEB 2022'!$1:$1048576,12,0)</f>
        <v>3.0459000000000001</v>
      </c>
      <c r="K42" s="47">
        <f t="shared" si="0"/>
        <v>70.061300000000003</v>
      </c>
      <c r="L42" s="53">
        <v>247000</v>
      </c>
      <c r="M42" s="5">
        <f t="shared" si="1"/>
        <v>3525.4841117706919</v>
      </c>
      <c r="N42" s="6" t="s">
        <v>18</v>
      </c>
    </row>
    <row r="43" spans="1:18" x14ac:dyDescent="0.2">
      <c r="A43" s="4">
        <v>705</v>
      </c>
      <c r="B43" s="4" t="s">
        <v>6</v>
      </c>
      <c r="C43" s="4">
        <v>7</v>
      </c>
      <c r="D43" s="4" t="s">
        <v>7</v>
      </c>
      <c r="E43" s="4" t="s">
        <v>4</v>
      </c>
      <c r="F43" s="4">
        <v>1</v>
      </c>
      <c r="G43" s="4" t="s">
        <v>51</v>
      </c>
      <c r="H43" s="4">
        <f>VLOOKUP(A43,'[1]M2 CÉNTRICO 09 FEB 2022'!$1:$1048576,15,0)</f>
        <v>1.95</v>
      </c>
      <c r="I43" s="47">
        <f>VLOOKUP(A43,'[1]M2 CÉNTRICO 09 FEB 2022'!$1:$1048576,11,0)</f>
        <v>47.506999999999998</v>
      </c>
      <c r="J43" s="47">
        <f>VLOOKUP(A43,'[1]M2 CÉNTRICO 09 FEB 2022'!$1:$1048576,12,0)</f>
        <v>2.7523</v>
      </c>
      <c r="K43" s="47">
        <f t="shared" si="0"/>
        <v>50.259299999999996</v>
      </c>
      <c r="L43" s="53">
        <v>185000</v>
      </c>
      <c r="M43" s="5">
        <f t="shared" si="1"/>
        <v>3680.9107966087872</v>
      </c>
      <c r="N43" s="6" t="s">
        <v>18</v>
      </c>
    </row>
    <row r="44" spans="1:18" x14ac:dyDescent="0.2">
      <c r="A44" s="4">
        <v>706</v>
      </c>
      <c r="B44" s="4" t="s">
        <v>8</v>
      </c>
      <c r="C44" s="4">
        <v>7</v>
      </c>
      <c r="D44" s="4" t="s">
        <v>5</v>
      </c>
      <c r="E44" s="4" t="s">
        <v>13</v>
      </c>
      <c r="F44" s="4">
        <v>2</v>
      </c>
      <c r="G44" s="4" t="s">
        <v>51</v>
      </c>
      <c r="H44" s="4">
        <f>VLOOKUP(A44,'[1]M2 CÉNTRICO 09 FEB 2022'!$1:$1048576,15,0)</f>
        <v>2.02</v>
      </c>
      <c r="I44" s="47">
        <f>VLOOKUP(A44,'[1]M2 CÉNTRICO 09 FEB 2022'!$1:$1048576,11,0)</f>
        <v>72.769000000000005</v>
      </c>
      <c r="J44" s="47">
        <f>VLOOKUP(A44,'[1]M2 CÉNTRICO 09 FEB 2022'!$1:$1048576,12,0)</f>
        <v>18.753299999999999</v>
      </c>
      <c r="K44" s="47">
        <f t="shared" si="0"/>
        <v>91.522300000000001</v>
      </c>
      <c r="L44" s="53">
        <v>294000</v>
      </c>
      <c r="M44" s="5">
        <f t="shared" si="1"/>
        <v>3212.3318579187803</v>
      </c>
      <c r="N44" s="6" t="s">
        <v>18</v>
      </c>
    </row>
  </sheetData>
  <sheetProtection algorithmName="SHA-512" hashValue="zyYdHuIUlOrpp7ExJ01aiPPQLoLEKxB4B0GaJF45UNSH0awAhelVI3KBu1FzzYheoXUsgHqPxqP85ZzUI7IEqQ==" saltValue="BWp7uxJ/7l6+sDYYYxdOeA==" spinCount="100000" sheet="1" objects="1" scenarios="1" selectLockedCells="1" selectUnlockedCells="1"/>
  <autoFilter ref="A2:N44">
    <filterColumn colId="13">
      <filters>
        <filter val="DISPONIBLE"/>
      </filters>
    </filterColumn>
  </autoFilter>
  <conditionalFormatting sqref="N3:N44">
    <cfRule type="containsText" dxfId="167" priority="1" operator="containsText" text="BLOQUEADO">
      <formula>NOT(ISERROR(SEARCH("BLOQUEADO",N3)))</formula>
    </cfRule>
    <cfRule type="containsText" dxfId="166" priority="2" operator="containsText" text="DISPONIBLE">
      <formula>NOT(ISERROR(SEARCH("DISPONIBLE",N3)))</formula>
    </cfRule>
    <cfRule type="containsText" dxfId="165" priority="3" operator="containsText" text="RESERVADO">
      <formula>NOT(ISERROR(SEARCH("RESERVADO",N3)))</formula>
    </cfRule>
    <cfRule type="containsText" dxfId="164" priority="4" operator="containsText" text="VENDIDO">
      <formula>NOT(ISERROR(SEARCH("VENDIDO",N3)))</formula>
    </cfRule>
  </conditionalFormatting>
  <dataValidations disablePrompts="1" count="1">
    <dataValidation type="list" allowBlank="1" showInputMessage="1" showErrorMessage="1" sqref="N3:N44">
      <formula1>"DISPONIBLE, RESERVADO, VENDIDO, BLOQUEADO"</formula1>
    </dataValidation>
  </dataValidation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R38"/>
  <sheetViews>
    <sheetView showGridLines="0" topLeftCell="A7" zoomScale="75" zoomScaleNormal="91" workbookViewId="0">
      <selection activeCell="F15" sqref="F15"/>
    </sheetView>
  </sheetViews>
  <sheetFormatPr baseColWidth="10" defaultRowHeight="15.75" x14ac:dyDescent="0.25"/>
  <cols>
    <col min="3" max="3" width="15.125" customWidth="1"/>
    <col min="4" max="4" width="4.125" customWidth="1"/>
    <col min="5" max="5" width="16.625" bestFit="1" customWidth="1"/>
    <col min="6" max="6" width="11.5" bestFit="1" customWidth="1"/>
    <col min="7" max="7" width="13.625" bestFit="1" customWidth="1"/>
    <col min="8" max="8" width="11.5" bestFit="1" customWidth="1"/>
    <col min="9" max="9" width="13.625" bestFit="1" customWidth="1"/>
    <col min="10" max="10" width="11.5" bestFit="1" customWidth="1"/>
    <col min="11" max="11" width="7.125" customWidth="1"/>
    <col min="12" max="12" width="13.625" bestFit="1" customWidth="1"/>
    <col min="13" max="13" width="11.5" bestFit="1" customWidth="1"/>
    <col min="14" max="14" width="13.625" bestFit="1" customWidth="1"/>
    <col min="15" max="15" width="11.5" bestFit="1" customWidth="1"/>
    <col min="16" max="16" width="17.625" customWidth="1"/>
    <col min="17" max="17" width="11.5" bestFit="1" customWidth="1"/>
    <col min="18" max="18" width="3.625" customWidth="1"/>
  </cols>
  <sheetData>
    <row r="8" spans="4:18" ht="16.5" thickBot="1" x14ac:dyDescent="0.3"/>
    <row r="9" spans="4:18" ht="18" customHeight="1" thickBot="1" x14ac:dyDescent="0.3">
      <c r="D9" s="99" t="str">
        <f>VLOOKUP(F11,INVENTARIO!$1:$1048576,14,0)</f>
        <v>DISPONIBLE</v>
      </c>
      <c r="E9" s="113"/>
      <c r="F9" s="100"/>
      <c r="G9" s="99" t="str">
        <f>VLOOKUP(H11,INVENTARIO!$1:$1048576,14,0)</f>
        <v>DISPONIBLE</v>
      </c>
      <c r="H9" s="100"/>
      <c r="I9" s="99" t="str">
        <f>VLOOKUP(J11,INVENTARIO!$1:$1048576,14,0)</f>
        <v>DISPONIBLE</v>
      </c>
      <c r="J9" s="100"/>
      <c r="L9" s="99" t="str">
        <f>VLOOKUP(M11,INVENTARIO!$1:$1048576,14,0)</f>
        <v>DISPONIBLE</v>
      </c>
      <c r="M9" s="100"/>
      <c r="N9" s="99" t="str">
        <f>VLOOKUP(O11,INVENTARIO!$1:$1048576,14,0)</f>
        <v>DISPONIBLE</v>
      </c>
      <c r="O9" s="100"/>
      <c r="P9" s="99" t="str">
        <f>VLOOKUP(Q11,INVENTARIO!$1:$1048576,14,0)</f>
        <v>DISPONIBLE</v>
      </c>
      <c r="Q9" s="113"/>
      <c r="R9" s="100"/>
    </row>
    <row r="10" spans="4:18" ht="16.350000000000001" customHeight="1" x14ac:dyDescent="0.25">
      <c r="D10" s="101">
        <f>IF(D9="disponible",VLOOKUP(F11,INVENTARIO!$1:$1048576,12,0), "")</f>
        <v>289000</v>
      </c>
      <c r="E10" s="115"/>
      <c r="F10" s="102"/>
      <c r="G10" s="101">
        <f>IF(G9="disponible",VLOOKUP(H11,INVENTARIO!$1:$1048576,12,0), "")</f>
        <v>185000</v>
      </c>
      <c r="H10" s="102"/>
      <c r="I10" s="101">
        <f>IF(I9="disponible",VLOOKUP(J11,INVENTARIO!$1:$1048576,12,0), "")</f>
        <v>247000</v>
      </c>
      <c r="J10" s="102"/>
      <c r="K10" s="106" t="s">
        <v>54</v>
      </c>
      <c r="L10" s="101">
        <f>IF(L9="disponible",VLOOKUP(M11,INVENTARIO!$1:$1048576,12,0), "")</f>
        <v>247000</v>
      </c>
      <c r="M10" s="102"/>
      <c r="N10" s="101">
        <f>IF(N9="disponible",VLOOKUP(O11,INVENTARIO!$1:$1048576,12,0), "")</f>
        <v>185000</v>
      </c>
      <c r="O10" s="102"/>
      <c r="P10" s="101">
        <f>IF(P9="disponible",VLOOKUP(Q11,INVENTARIO!$1:$1048576,12,0), "")</f>
        <v>294000</v>
      </c>
      <c r="Q10" s="115"/>
      <c r="R10" s="102"/>
    </row>
    <row r="11" spans="4:18" ht="16.5" thickBot="1" x14ac:dyDescent="0.3">
      <c r="D11" s="109" t="str">
        <f>VLOOKUP(F11,INVENTARIO!$1:$1048576,2,0)</f>
        <v>REVOLUCIÓN PLUS</v>
      </c>
      <c r="E11" s="110"/>
      <c r="F11" s="34">
        <v>701</v>
      </c>
      <c r="G11" s="33" t="str">
        <f>VLOOKUP(H11,INVENTARIO!$1:$1048576,2,0)</f>
        <v>CEBRA</v>
      </c>
      <c r="H11" s="30">
        <v>702</v>
      </c>
      <c r="I11" s="31">
        <f>VLOOKUP(J11,INVENTARIO!$1:$1048576,2,0)</f>
        <v>664</v>
      </c>
      <c r="J11" s="35">
        <v>703</v>
      </c>
      <c r="K11" s="107"/>
      <c r="L11" s="31">
        <f>VLOOKUP(M11,INVENTARIO!$1:$1048576,2,0)</f>
        <v>664</v>
      </c>
      <c r="M11" s="30">
        <v>704</v>
      </c>
      <c r="N11" s="33" t="str">
        <f>VLOOKUP(O11,INVENTARIO!$1:$1048576,2,0)</f>
        <v>CEBRA</v>
      </c>
      <c r="O11" s="35">
        <v>705</v>
      </c>
      <c r="P11" s="36" t="str">
        <f>VLOOKUP(Q11,INVENTARIO!$1:$1048576,2,0)</f>
        <v>REVOLUCIÓN PLUS</v>
      </c>
      <c r="Q11" s="111">
        <v>706</v>
      </c>
      <c r="R11" s="112"/>
    </row>
    <row r="12" spans="4:18" s="37" customFormat="1" ht="6" customHeight="1" thickBot="1" x14ac:dyDescent="0.3">
      <c r="D12" s="42"/>
      <c r="E12" s="42"/>
      <c r="F12" s="41"/>
      <c r="G12" s="43"/>
      <c r="H12" s="39"/>
      <c r="I12" s="40"/>
      <c r="J12" s="41"/>
      <c r="K12" s="107"/>
      <c r="L12" s="42"/>
      <c r="M12" s="39"/>
      <c r="N12" s="38"/>
      <c r="O12" s="41"/>
      <c r="P12" s="42"/>
      <c r="Q12" s="41"/>
      <c r="R12" s="41"/>
    </row>
    <row r="13" spans="4:18" s="37" customFormat="1" ht="18" customHeight="1" thickBot="1" x14ac:dyDescent="0.3">
      <c r="D13" s="42"/>
      <c r="E13" s="99" t="str">
        <f>VLOOKUP(F15,INVENTARIO!$1:$1048576,14,0)</f>
        <v>DISPONIBLE</v>
      </c>
      <c r="F13" s="100"/>
      <c r="G13" s="99" t="str">
        <f>VLOOKUP(H15,INVENTARIO!$1:$1048576,14,0)</f>
        <v>DISPONIBLE</v>
      </c>
      <c r="H13" s="100"/>
      <c r="I13" s="99" t="str">
        <f>VLOOKUP(J15,INVENTARIO!$1:$1048576,14,0)</f>
        <v>DISPONIBLE</v>
      </c>
      <c r="J13" s="100"/>
      <c r="K13" s="107"/>
      <c r="L13" s="99" t="str">
        <f>VLOOKUP(M15,INVENTARIO!$1:$1048576,14,0)</f>
        <v>DISPONIBLE</v>
      </c>
      <c r="M13" s="100"/>
      <c r="N13" s="99" t="str">
        <f>VLOOKUP(O15,INVENTARIO!$1:$1048576,14,0)</f>
        <v>DISPONIBLE</v>
      </c>
      <c r="O13" s="100"/>
      <c r="P13" s="99" t="str">
        <f>VLOOKUP(Q15,INVENTARIO!$1:$1048576,14,0)</f>
        <v>VENDIDO</v>
      </c>
      <c r="Q13" s="100"/>
      <c r="R13" s="114" t="s">
        <v>56</v>
      </c>
    </row>
    <row r="14" spans="4:18" ht="16.350000000000001" customHeight="1" x14ac:dyDescent="0.25">
      <c r="E14" s="101">
        <f>IF(E13="disponible",VLOOKUP(F15,INVENTARIO!$1:$1048576,12,0), "")</f>
        <v>253000</v>
      </c>
      <c r="F14" s="102"/>
      <c r="G14" s="101">
        <f>IF(G13="disponible",VLOOKUP(H15,INVENTARIO!$1:$1048576,12,0), "")</f>
        <v>180000</v>
      </c>
      <c r="H14" s="102"/>
      <c r="I14" s="101">
        <f>IF(I13="disponible",VLOOKUP(J15,INVENTARIO!$1:$1048576,12,0), "")</f>
        <v>241000</v>
      </c>
      <c r="J14" s="102"/>
      <c r="K14" s="107"/>
      <c r="L14" s="101">
        <f>IF(L13="disponible",VLOOKUP(M15,INVENTARIO!$1:$1048576,12,0), "")</f>
        <v>241000</v>
      </c>
      <c r="M14" s="102"/>
      <c r="N14" s="101">
        <f>IF(N13="disponible",VLOOKUP(O15,INVENTARIO!$1:$1048576,12,0), "")</f>
        <v>180000</v>
      </c>
      <c r="O14" s="102"/>
      <c r="P14" s="101" t="str">
        <f>IF(P13="disponible",VLOOKUP(Q15,INVENTARIO!$1:$1048576,12,0), "")</f>
        <v/>
      </c>
      <c r="Q14" s="102"/>
      <c r="R14" s="114"/>
    </row>
    <row r="15" spans="4:18" ht="16.5" thickBot="1" x14ac:dyDescent="0.3">
      <c r="E15" s="44" t="str">
        <f>VLOOKUP(F15,INVENTARIO!$1:$1048576,2,0)</f>
        <v>REVOLUCIÓN</v>
      </c>
      <c r="F15" s="34">
        <v>601</v>
      </c>
      <c r="G15" s="33" t="str">
        <f>VLOOKUP(H15,INVENTARIO!$1:$1048576,2,0)</f>
        <v>CEBRA</v>
      </c>
      <c r="H15" s="30">
        <v>602</v>
      </c>
      <c r="I15" s="31">
        <f>VLOOKUP(J15,INVENTARIO!$1:$1048576,2,0)</f>
        <v>664</v>
      </c>
      <c r="J15" s="35">
        <v>603</v>
      </c>
      <c r="K15" s="107"/>
      <c r="L15" s="31">
        <f>VLOOKUP(M15,INVENTARIO!$1:$1048576,2,0)</f>
        <v>664</v>
      </c>
      <c r="M15" s="30">
        <v>604</v>
      </c>
      <c r="N15" s="33" t="str">
        <f>VLOOKUP(O15,INVENTARIO!$1:$1048576,2,0)</f>
        <v>CEBRA</v>
      </c>
      <c r="O15" s="35">
        <v>605</v>
      </c>
      <c r="P15" s="44" t="str">
        <f>VLOOKUP(Q15,INVENTARIO!$1:$1048576,2,0)</f>
        <v>REVOLUCIÓN</v>
      </c>
      <c r="Q15" s="34">
        <v>606</v>
      </c>
      <c r="R15" s="114"/>
    </row>
    <row r="16" spans="4:18" s="37" customFormat="1" ht="6" customHeight="1" thickBot="1" x14ac:dyDescent="0.3">
      <c r="E16" s="38"/>
      <c r="F16" s="39"/>
      <c r="G16" s="38"/>
      <c r="H16" s="39"/>
      <c r="I16" s="40"/>
      <c r="J16" s="41"/>
      <c r="K16" s="107"/>
      <c r="L16" s="42"/>
      <c r="M16" s="39"/>
      <c r="N16" s="38"/>
      <c r="O16" s="39"/>
      <c r="P16" s="38"/>
      <c r="Q16" s="39"/>
      <c r="R16" s="114"/>
    </row>
    <row r="17" spans="5:18" s="37" customFormat="1" ht="18" customHeight="1" thickBot="1" x14ac:dyDescent="0.3">
      <c r="E17" s="99" t="str">
        <f>VLOOKUP(F19,INVENTARIO!$1:$1048576,14,0)</f>
        <v>DISPONIBLE</v>
      </c>
      <c r="F17" s="100"/>
      <c r="G17" s="99" t="str">
        <f>VLOOKUP(H19,INVENTARIO!$1:$1048576,14,0)</f>
        <v>DISPONIBLE</v>
      </c>
      <c r="H17" s="100"/>
      <c r="I17" s="99" t="str">
        <f>VLOOKUP(J19,INVENTARIO!$1:$1048576,14,0)</f>
        <v>DISPONIBLE</v>
      </c>
      <c r="J17" s="100"/>
      <c r="K17" s="107"/>
      <c r="L17" s="99" t="str">
        <f>VLOOKUP(M19,INVENTARIO!$1:$1048576,14,0)</f>
        <v>DISPONIBLE</v>
      </c>
      <c r="M17" s="100"/>
      <c r="N17" s="99" t="str">
        <f>VLOOKUP(O19,INVENTARIO!$1:$1048576,14,0)</f>
        <v>DISPONIBLE</v>
      </c>
      <c r="O17" s="100"/>
      <c r="P17" s="99" t="str">
        <f>VLOOKUP(Q19,INVENTARIO!$1:$1048576,14,0)</f>
        <v>DISPONIBLE</v>
      </c>
      <c r="Q17" s="100"/>
      <c r="R17" s="114"/>
    </row>
    <row r="18" spans="5:18" x14ac:dyDescent="0.25">
      <c r="E18" s="101">
        <f>IF(E17="disponible",VLOOKUP(F19,INVENTARIO!$1:$1048576,12,0), "")</f>
        <v>245000</v>
      </c>
      <c r="F18" s="102"/>
      <c r="G18" s="101">
        <f>IF(G17="disponible",VLOOKUP(H19,INVENTARIO!$1:$1048576,12,0), "")</f>
        <v>176000</v>
      </c>
      <c r="H18" s="102"/>
      <c r="I18" s="101">
        <f>IF(I17="disponible",VLOOKUP(J19,INVENTARIO!$1:$1048576,12,0), "")</f>
        <v>230000</v>
      </c>
      <c r="J18" s="102"/>
      <c r="K18" s="107"/>
      <c r="L18" s="101">
        <f>IF(L17="disponible",VLOOKUP(M19,INVENTARIO!$1:$1048576,12,0), "")</f>
        <v>230000</v>
      </c>
      <c r="M18" s="102"/>
      <c r="N18" s="101">
        <f>IF(N17="disponible",VLOOKUP(O19,INVENTARIO!$1:$1048576,12,0), "")</f>
        <v>176000</v>
      </c>
      <c r="O18" s="102"/>
      <c r="P18" s="101">
        <f>IF(P17="disponible",VLOOKUP(Q19,INVENTARIO!$1:$1048576,12,0), "")</f>
        <v>247000</v>
      </c>
      <c r="Q18" s="102"/>
      <c r="R18" s="114"/>
    </row>
    <row r="19" spans="5:18" ht="16.5" thickBot="1" x14ac:dyDescent="0.3">
      <c r="E19" s="44" t="str">
        <f>VLOOKUP(F19,INVENTARIO!$1:$1048576,2,0)</f>
        <v>REVOLUCIÓN</v>
      </c>
      <c r="F19" s="34">
        <v>501</v>
      </c>
      <c r="G19" s="33" t="str">
        <f>VLOOKUP(H19,INVENTARIO!$1:$1048576,2,0)</f>
        <v>CEBRA</v>
      </c>
      <c r="H19" s="45">
        <v>502</v>
      </c>
      <c r="I19" s="31">
        <f>VLOOKUP(J19,INVENTARIO!$1:$1048576,2,0)</f>
        <v>664</v>
      </c>
      <c r="J19" s="34">
        <v>503</v>
      </c>
      <c r="K19" s="107"/>
      <c r="L19" s="31">
        <f>VLOOKUP(M19,INVENTARIO!$1:$1048576,2,0)</f>
        <v>664</v>
      </c>
      <c r="M19" s="45">
        <v>504</v>
      </c>
      <c r="N19" s="33" t="str">
        <f>VLOOKUP(O19,INVENTARIO!$1:$1048576,2,0)</f>
        <v>CEBRA</v>
      </c>
      <c r="O19" s="45">
        <v>505</v>
      </c>
      <c r="P19" s="44" t="str">
        <f>VLOOKUP(Q19,INVENTARIO!$1:$1048576,2,0)</f>
        <v>REVOLUCIÓN</v>
      </c>
      <c r="Q19" s="34">
        <v>506</v>
      </c>
      <c r="R19" s="114"/>
    </row>
    <row r="20" spans="5:18" s="37" customFormat="1" ht="6" customHeight="1" thickBot="1" x14ac:dyDescent="0.3">
      <c r="E20" s="38"/>
      <c r="F20" s="39"/>
      <c r="G20" s="38"/>
      <c r="H20" s="39"/>
      <c r="I20" s="40"/>
      <c r="J20" s="41"/>
      <c r="K20" s="107"/>
      <c r="L20" s="42"/>
      <c r="M20" s="39"/>
      <c r="N20" s="38"/>
      <c r="O20" s="39"/>
      <c r="P20" s="38"/>
      <c r="Q20" s="39"/>
      <c r="R20" s="114"/>
    </row>
    <row r="21" spans="5:18" s="37" customFormat="1" ht="18" customHeight="1" thickBot="1" x14ac:dyDescent="0.3">
      <c r="E21" s="99" t="str">
        <f>VLOOKUP(F23,INVENTARIO!$1:$1048576,14,0)</f>
        <v>DISPONIBLE</v>
      </c>
      <c r="F21" s="100"/>
      <c r="G21" s="99" t="str">
        <f>VLOOKUP(H23,INVENTARIO!$1:$1048576,14,0)</f>
        <v>DISPONIBLE</v>
      </c>
      <c r="H21" s="100"/>
      <c r="I21" s="99" t="str">
        <f>VLOOKUP(J23,INVENTARIO!$1:$1048576,14,0)</f>
        <v>DISPONIBLE</v>
      </c>
      <c r="J21" s="100"/>
      <c r="K21" s="107"/>
      <c r="L21" s="99" t="str">
        <f>VLOOKUP(M23,INVENTARIO!$1:$1048576,14,0)</f>
        <v>DISPONIBLE</v>
      </c>
      <c r="M21" s="100"/>
      <c r="N21" s="99" t="str">
        <f>VLOOKUP(O23,INVENTARIO!$1:$1048576,14,0)</f>
        <v>VENDIDO</v>
      </c>
      <c r="O21" s="100"/>
      <c r="P21" s="99" t="str">
        <f>VLOOKUP(Q23,INVENTARIO!$1:$1048576,14,0)</f>
        <v>DISPONIBLE</v>
      </c>
      <c r="Q21" s="100"/>
      <c r="R21" s="114"/>
    </row>
    <row r="22" spans="5:18" x14ac:dyDescent="0.25">
      <c r="E22" s="101">
        <f>IF(E21="disponible",VLOOKUP(F23,INVENTARIO!$1:$1048576,12,0), "")</f>
        <v>230000</v>
      </c>
      <c r="F22" s="102"/>
      <c r="G22" s="101">
        <f>IF(G21="disponible",VLOOKUP(H23,INVENTARIO!$1:$1048576,12,0), "")</f>
        <v>175000</v>
      </c>
      <c r="H22" s="102"/>
      <c r="I22" s="101">
        <f>IF(I21="disponible",VLOOKUP(J23,INVENTARIO!$1:$1048576,12,0), "")</f>
        <v>222000</v>
      </c>
      <c r="J22" s="102"/>
      <c r="K22" s="107"/>
      <c r="L22" s="101">
        <f>IF(L21="disponible",VLOOKUP(M23,INVENTARIO!$1:$1048576,12,0), "")</f>
        <v>222000</v>
      </c>
      <c r="M22" s="102"/>
      <c r="N22" s="101" t="str">
        <f>IF(N21="disponible",VLOOKUP(O23,INVENTARIO!$1:$1048576,12,0), "")</f>
        <v/>
      </c>
      <c r="O22" s="102"/>
      <c r="P22" s="101">
        <f>IF(P21="disponible",VLOOKUP(Q23,INVENTARIO!$1:$1048576,12,0), "")</f>
        <v>235000</v>
      </c>
      <c r="Q22" s="102"/>
      <c r="R22" s="114"/>
    </row>
    <row r="23" spans="5:18" ht="16.5" thickBot="1" x14ac:dyDescent="0.3">
      <c r="E23" s="44" t="str">
        <f>VLOOKUP(F23,INVENTARIO!$1:$1048576,2,0)</f>
        <v>REVOLUCIÓN</v>
      </c>
      <c r="F23" s="30">
        <v>401</v>
      </c>
      <c r="G23" s="33" t="str">
        <f>VLOOKUP(H23,INVENTARIO!$1:$1048576,2,0)</f>
        <v>CEBRA</v>
      </c>
      <c r="H23" s="30">
        <v>402</v>
      </c>
      <c r="I23" s="31">
        <f>VLOOKUP(J23,INVENTARIO!$1:$1048576,2,0)</f>
        <v>664</v>
      </c>
      <c r="J23" s="35">
        <v>403</v>
      </c>
      <c r="K23" s="107"/>
      <c r="L23" s="31">
        <f>VLOOKUP(M23,INVENTARIO!$1:$1048576,2,0)</f>
        <v>664</v>
      </c>
      <c r="M23" s="30">
        <v>404</v>
      </c>
      <c r="N23" s="33" t="str">
        <f>VLOOKUP(O23,INVENTARIO!$1:$1048576,2,0)</f>
        <v>CEBRA</v>
      </c>
      <c r="O23" s="30">
        <v>405</v>
      </c>
      <c r="P23" s="44" t="str">
        <f>VLOOKUP(Q23,INVENTARIO!$1:$1048576,2,0)</f>
        <v>REVOLUCIÓN</v>
      </c>
      <c r="Q23" s="30">
        <v>406</v>
      </c>
      <c r="R23" s="114"/>
    </row>
    <row r="24" spans="5:18" s="37" customFormat="1" ht="6" customHeight="1" thickBot="1" x14ac:dyDescent="0.3">
      <c r="E24" s="38"/>
      <c r="F24" s="39"/>
      <c r="G24" s="38"/>
      <c r="H24" s="39"/>
      <c r="I24" s="40"/>
      <c r="J24" s="41"/>
      <c r="K24" s="107"/>
      <c r="L24" s="42"/>
      <c r="M24" s="39"/>
      <c r="N24" s="38"/>
      <c r="O24" s="39"/>
      <c r="P24" s="38"/>
      <c r="Q24" s="39"/>
      <c r="R24" s="114"/>
    </row>
    <row r="25" spans="5:18" s="37" customFormat="1" ht="18" customHeight="1" thickBot="1" x14ac:dyDescent="0.3">
      <c r="E25" s="99" t="str">
        <f>VLOOKUP(F27,INVENTARIO!$1:$1048576,14,0)</f>
        <v>DISPONIBLE</v>
      </c>
      <c r="F25" s="100"/>
      <c r="G25" s="99" t="str">
        <f>VLOOKUP(H27,INVENTARIO!$1:$1048576,14,0)</f>
        <v>DISPONIBLE</v>
      </c>
      <c r="H25" s="100"/>
      <c r="I25" s="99" t="str">
        <f>VLOOKUP(J27,INVENTARIO!$1:$1048576,14,0)</f>
        <v>DISPONIBLE</v>
      </c>
      <c r="J25" s="100"/>
      <c r="K25" s="107"/>
      <c r="L25" s="99" t="str">
        <f>VLOOKUP(M27,INVENTARIO!$1:$1048576,14,0)</f>
        <v>DISPONIBLE</v>
      </c>
      <c r="M25" s="100"/>
      <c r="N25" s="99" t="str">
        <f>VLOOKUP(O27,INVENTARIO!$1:$1048576,14,0)</f>
        <v>DISPONIBLE</v>
      </c>
      <c r="O25" s="100"/>
      <c r="P25" s="99" t="str">
        <f>VLOOKUP(Q27,INVENTARIO!$1:$1048576,14,0)</f>
        <v>DISPONIBLE</v>
      </c>
      <c r="Q25" s="100"/>
      <c r="R25" s="114"/>
    </row>
    <row r="26" spans="5:18" ht="16.350000000000001" customHeight="1" x14ac:dyDescent="0.25">
      <c r="E26" s="101">
        <f>IF(E25="disponible",VLOOKUP(F27,INVENTARIO!$1:$1048576,12,0), "")</f>
        <v>214000</v>
      </c>
      <c r="F26" s="102"/>
      <c r="G26" s="101">
        <f>IF(G25="disponible",VLOOKUP(H27,INVENTARIO!$1:$1048576,12,0), "")</f>
        <v>170000</v>
      </c>
      <c r="H26" s="102"/>
      <c r="I26" s="101">
        <f>IF(I25="disponible",VLOOKUP(J27,INVENTARIO!$1:$1048576,12,0), "")</f>
        <v>214000</v>
      </c>
      <c r="J26" s="102"/>
      <c r="K26" s="107"/>
      <c r="L26" s="101">
        <f>IF(L25="disponible",VLOOKUP(M27,INVENTARIO!$1:$1048576,12,0), "")</f>
        <v>214000</v>
      </c>
      <c r="M26" s="102"/>
      <c r="N26" s="101">
        <f>IF(N25="disponible",VLOOKUP(O27,INVENTARIO!$1:$1048576,12,0), "")</f>
        <v>169246</v>
      </c>
      <c r="O26" s="102"/>
      <c r="P26" s="101">
        <f>IF(P25="disponible",VLOOKUP(Q27,INVENTARIO!$1:$1048576,12,0), "")</f>
        <v>213000</v>
      </c>
      <c r="Q26" s="102"/>
      <c r="R26" s="114"/>
    </row>
    <row r="27" spans="5:18" ht="16.5" thickBot="1" x14ac:dyDescent="0.3">
      <c r="E27" s="44" t="str">
        <f>VLOOKUP(F27,INVENTARIO!$1:$1048576,2,0)</f>
        <v>REVOLUCIÓN</v>
      </c>
      <c r="F27" s="34">
        <v>301</v>
      </c>
      <c r="G27" s="33" t="str">
        <f>VLOOKUP(H27,INVENTARIO!$1:$1048576,2,0)</f>
        <v>CEBRA</v>
      </c>
      <c r="H27" s="45">
        <v>302</v>
      </c>
      <c r="I27" s="31">
        <f>VLOOKUP(J27,INVENTARIO!$1:$1048576,2,0)</f>
        <v>664</v>
      </c>
      <c r="J27" s="34">
        <v>303</v>
      </c>
      <c r="K27" s="107"/>
      <c r="L27" s="31">
        <f>VLOOKUP(M27,INVENTARIO!$1:$1048576,2,0)</f>
        <v>664</v>
      </c>
      <c r="M27" s="45">
        <v>304</v>
      </c>
      <c r="N27" s="33" t="str">
        <f>VLOOKUP(O27,INVENTARIO!$1:$1048576,2,0)</f>
        <v>CEBRA</v>
      </c>
      <c r="O27" s="45">
        <v>305</v>
      </c>
      <c r="P27" s="44" t="str">
        <f>VLOOKUP(Q27,INVENTARIO!$1:$1048576,2,0)</f>
        <v>REVOLUCIÓN</v>
      </c>
      <c r="Q27" s="34">
        <v>306</v>
      </c>
      <c r="R27" s="114"/>
    </row>
    <row r="28" spans="5:18" s="37" customFormat="1" ht="6" customHeight="1" thickBot="1" x14ac:dyDescent="0.3">
      <c r="E28" s="38"/>
      <c r="F28" s="39"/>
      <c r="G28" s="38"/>
      <c r="H28" s="39"/>
      <c r="I28" s="40"/>
      <c r="J28" s="41"/>
      <c r="K28" s="107"/>
      <c r="L28" s="42"/>
      <c r="M28" s="39"/>
      <c r="N28" s="38"/>
      <c r="O28" s="39"/>
      <c r="P28" s="38"/>
      <c r="Q28" s="39"/>
      <c r="R28" s="114"/>
    </row>
    <row r="29" spans="5:18" s="37" customFormat="1" ht="18" customHeight="1" thickBot="1" x14ac:dyDescent="0.3">
      <c r="E29" s="99" t="str">
        <f>VLOOKUP(F31,INVENTARIO!$1:$1048576,14,0)</f>
        <v>VENDIDO</v>
      </c>
      <c r="F29" s="100"/>
      <c r="G29" s="99" t="str">
        <f>VLOOKUP(H31,INVENTARIO!$1:$1048576,14,0)</f>
        <v>BLOQUEADO</v>
      </c>
      <c r="H29" s="100"/>
      <c r="I29" s="99" t="str">
        <f>VLOOKUP(J31,INVENTARIO!$1:$1048576,14,0)</f>
        <v>DISPONIBLE</v>
      </c>
      <c r="J29" s="100"/>
      <c r="K29" s="107"/>
      <c r="L29" s="99" t="str">
        <f>VLOOKUP(M31,INVENTARIO!$1:$1048576,14,0)</f>
        <v>DISPONIBLE</v>
      </c>
      <c r="M29" s="100"/>
      <c r="N29" s="99" t="str">
        <f>VLOOKUP(O31,INVENTARIO!$1:$1048576,14,0)</f>
        <v>VENDIDO</v>
      </c>
      <c r="O29" s="100"/>
      <c r="P29" s="99" t="str">
        <f>VLOOKUP(Q31,INVENTARIO!$1:$1048576,14,0)</f>
        <v>DISPONIBLE</v>
      </c>
      <c r="Q29" s="100"/>
      <c r="R29" s="114"/>
    </row>
    <row r="30" spans="5:18" x14ac:dyDescent="0.25">
      <c r="E30" s="101" t="str">
        <f>IF(E29="disponible",VLOOKUP(F31,INVENTARIO!$1:$1048576,12,0), "")</f>
        <v/>
      </c>
      <c r="F30" s="102"/>
      <c r="G30" s="101" t="str">
        <f>IF(G29="disponible",VLOOKUP(H31,INVENTARIO!$1:$1048576,12,0), "")</f>
        <v/>
      </c>
      <c r="H30" s="102"/>
      <c r="I30" s="101">
        <f>IF(I29="disponible",VLOOKUP(J31,INVENTARIO!$1:$1048576,12,0), "")</f>
        <v>208000</v>
      </c>
      <c r="J30" s="102"/>
      <c r="K30" s="107"/>
      <c r="L30" s="101">
        <f>IF(L29="disponible",VLOOKUP(M31,INVENTARIO!$1:$1048576,12,0), "")</f>
        <v>207834</v>
      </c>
      <c r="M30" s="102"/>
      <c r="N30" s="101" t="str">
        <f>IF(N29="disponible",VLOOKUP(O31,INVENTARIO!$1:$1048576,12,0), "")</f>
        <v/>
      </c>
      <c r="O30" s="102"/>
      <c r="P30" s="101">
        <f>IF(P29="disponible",VLOOKUP(Q31,INVENTARIO!$1:$1048576,12,0), "")</f>
        <v>211000</v>
      </c>
      <c r="Q30" s="102"/>
      <c r="R30" s="114"/>
    </row>
    <row r="31" spans="5:18" ht="16.5" thickBot="1" x14ac:dyDescent="0.3">
      <c r="E31" s="44" t="str">
        <f>VLOOKUP(F31,INVENTARIO!$1:$1048576,2,0)</f>
        <v>REVOLUCIÓN</v>
      </c>
      <c r="F31" s="34">
        <v>201</v>
      </c>
      <c r="G31" s="33" t="str">
        <f>VLOOKUP(H31,INVENTARIO!$1:$1048576,2,0)</f>
        <v>CEBRA</v>
      </c>
      <c r="H31" s="45">
        <v>202</v>
      </c>
      <c r="I31" s="31">
        <f>VLOOKUP(J31,INVENTARIO!$1:$1048576,2,0)</f>
        <v>664</v>
      </c>
      <c r="J31" s="34">
        <v>203</v>
      </c>
      <c r="K31" s="107"/>
      <c r="L31" s="31">
        <f>VLOOKUP(M31,INVENTARIO!$1:$1048576,2,0)</f>
        <v>664</v>
      </c>
      <c r="M31" s="45">
        <v>204</v>
      </c>
      <c r="N31" s="33" t="str">
        <f>VLOOKUP(O31,INVENTARIO!$1:$1048576,2,0)</f>
        <v>CEBRA</v>
      </c>
      <c r="O31" s="45">
        <v>205</v>
      </c>
      <c r="P31" s="44" t="str">
        <f>VLOOKUP(Q31,INVENTARIO!$1:$1048576,2,0)</f>
        <v>REVOLUCIÓN</v>
      </c>
      <c r="Q31" s="34">
        <v>206</v>
      </c>
      <c r="R31" s="114"/>
    </row>
    <row r="32" spans="5:18" s="37" customFormat="1" ht="6" customHeight="1" thickBot="1" x14ac:dyDescent="0.3">
      <c r="E32" s="38"/>
      <c r="F32" s="39"/>
      <c r="G32" s="38"/>
      <c r="H32" s="39"/>
      <c r="I32" s="40"/>
      <c r="J32" s="41"/>
      <c r="K32" s="107"/>
      <c r="L32" s="42"/>
      <c r="M32" s="39"/>
      <c r="N32" s="38"/>
      <c r="O32" s="39"/>
      <c r="P32" s="38"/>
      <c r="Q32" s="39"/>
      <c r="R32" s="114"/>
    </row>
    <row r="33" spans="5:18" s="37" customFormat="1" ht="18" customHeight="1" thickBot="1" x14ac:dyDescent="0.3">
      <c r="E33" s="99" t="str">
        <f>VLOOKUP(F35,INVENTARIO!$1:$1048576,14,0)</f>
        <v>VENDIDO</v>
      </c>
      <c r="F33" s="100"/>
      <c r="G33" s="99" t="str">
        <f>VLOOKUP(H35,INVENTARIO!$1:$1048576,14,0)</f>
        <v>DISPONIBLE</v>
      </c>
      <c r="H33" s="100"/>
      <c r="I33" s="99" t="str">
        <f>VLOOKUP(J35,INVENTARIO!$1:$1048576,14,0)</f>
        <v>DISPONIBLE</v>
      </c>
      <c r="J33" s="100"/>
      <c r="K33" s="107"/>
      <c r="L33" s="99" t="str">
        <f>VLOOKUP(M35,INVENTARIO!$1:$1048576,14,0)</f>
        <v>DISPONIBLE</v>
      </c>
      <c r="M33" s="100"/>
      <c r="N33" s="99" t="str">
        <f>VLOOKUP(O35,INVENTARIO!$1:$1048576,14,0)</f>
        <v>DISPONIBLE</v>
      </c>
      <c r="O33" s="100"/>
      <c r="P33" s="99" t="str">
        <f>VLOOKUP(Q35,INVENTARIO!$1:$1048576,14,0)</f>
        <v>DISPONIBLE</v>
      </c>
      <c r="Q33" s="100"/>
      <c r="R33" s="114"/>
    </row>
    <row r="34" spans="5:18" x14ac:dyDescent="0.25">
      <c r="E34" s="101" t="str">
        <f>IF(E33="disponible",VLOOKUP(F35,INVENTARIO!$1:$1048576,12,0), "")</f>
        <v/>
      </c>
      <c r="F34" s="102"/>
      <c r="G34" s="101">
        <f>IF(G33="disponible",VLOOKUP(H35,INVENTARIO!$1:$1048576,12,0), "")</f>
        <v>161000</v>
      </c>
      <c r="H34" s="102"/>
      <c r="I34" s="101">
        <f>IF(I33="disponible",VLOOKUP(J35,INVENTARIO!$1:$1048576,12,0), "")</f>
        <v>219000</v>
      </c>
      <c r="J34" s="102"/>
      <c r="K34" s="107"/>
      <c r="L34" s="101">
        <f>IF(L33="disponible",VLOOKUP(M35,INVENTARIO!$1:$1048576,12,0), "")</f>
        <v>219000</v>
      </c>
      <c r="M34" s="102"/>
      <c r="N34" s="101">
        <f>IF(N33="disponible",VLOOKUP(O35,INVENTARIO!$1:$1048576,12,0), "")</f>
        <v>161000</v>
      </c>
      <c r="O34" s="102"/>
      <c r="P34" s="101">
        <f>IF(P33="disponible",VLOOKUP(Q35,INVENTARIO!$1:$1048576,12,0), "")</f>
        <v>227000</v>
      </c>
      <c r="Q34" s="102"/>
      <c r="R34" s="114"/>
    </row>
    <row r="35" spans="5:18" ht="16.5" thickBot="1" x14ac:dyDescent="0.3">
      <c r="E35" s="44" t="str">
        <f>VLOOKUP(F35,INVENTARIO!$1:$1048576,2,0)</f>
        <v>REVOLUCIÓN</v>
      </c>
      <c r="F35" s="34">
        <v>101</v>
      </c>
      <c r="G35" s="33" t="str">
        <f>VLOOKUP(H35,INVENTARIO!$1:$1048576,2,0)</f>
        <v>CEBRA</v>
      </c>
      <c r="H35" s="45">
        <v>102</v>
      </c>
      <c r="I35" s="31">
        <f>VLOOKUP(J35,INVENTARIO!$1:$1048576,2,0)</f>
        <v>664</v>
      </c>
      <c r="J35" s="34">
        <v>103</v>
      </c>
      <c r="K35" s="108"/>
      <c r="L35" s="31">
        <f>VLOOKUP(M35,INVENTARIO!$1:$1048576,2,0)</f>
        <v>664</v>
      </c>
      <c r="M35" s="45">
        <v>104</v>
      </c>
      <c r="N35" s="33" t="str">
        <f>VLOOKUP(O35,INVENTARIO!$1:$1048576,2,0)</f>
        <v>CEBRA</v>
      </c>
      <c r="O35" s="45">
        <v>105</v>
      </c>
      <c r="P35" s="44" t="str">
        <f>VLOOKUP(Q35,INVENTARIO!$1:$1048576,2,0)</f>
        <v>REVOLUCIÓN</v>
      </c>
      <c r="Q35" s="34">
        <v>106</v>
      </c>
      <c r="R35" s="114"/>
    </row>
    <row r="36" spans="5:18" x14ac:dyDescent="0.25">
      <c r="E36" s="1" t="s">
        <v>5</v>
      </c>
      <c r="G36" s="1" t="s">
        <v>7</v>
      </c>
      <c r="I36" s="1" t="s">
        <v>5</v>
      </c>
      <c r="L36" s="1" t="s">
        <v>5</v>
      </c>
      <c r="N36" s="1" t="s">
        <v>7</v>
      </c>
      <c r="P36" s="32" t="s">
        <v>5</v>
      </c>
    </row>
    <row r="38" spans="5:18" x14ac:dyDescent="0.25">
      <c r="E38" s="103" t="s">
        <v>14</v>
      </c>
      <c r="F38" s="104"/>
      <c r="G38" s="105" t="s">
        <v>4</v>
      </c>
      <c r="H38" s="105"/>
      <c r="I38" s="105"/>
      <c r="J38" s="105"/>
      <c r="K38" s="105"/>
      <c r="L38" s="105"/>
      <c r="M38" s="105"/>
      <c r="N38" s="105"/>
      <c r="O38" s="105"/>
      <c r="P38" s="105" t="s">
        <v>55</v>
      </c>
      <c r="Q38" s="105"/>
    </row>
  </sheetData>
  <sheetProtection algorithmName="SHA-512" hashValue="HQIjXIy6k+mpRV3ibQWAdraWkcQGAdgxoJLR1FhegCguR1KBMfwi78csGBX/iShmEehG2HKawlYE+Da2SnknGQ==" saltValue="Q3hSg+R7UKrvptMr4F8f3A==" spinCount="100000" sheet="1" objects="1" scenarios="1"/>
  <mergeCells count="91">
    <mergeCell ref="E14:F14"/>
    <mergeCell ref="D10:F10"/>
    <mergeCell ref="P10:R10"/>
    <mergeCell ref="N10:O10"/>
    <mergeCell ref="L10:M10"/>
    <mergeCell ref="G10:H10"/>
    <mergeCell ref="I10:J10"/>
    <mergeCell ref="G14:H14"/>
    <mergeCell ref="P13:Q13"/>
    <mergeCell ref="I14:J14"/>
    <mergeCell ref="L13:M13"/>
    <mergeCell ref="N13:O13"/>
    <mergeCell ref="P14:Q14"/>
    <mergeCell ref="N14:O14"/>
    <mergeCell ref="L14:M14"/>
    <mergeCell ref="P17:Q17"/>
    <mergeCell ref="P26:Q26"/>
    <mergeCell ref="P22:Q22"/>
    <mergeCell ref="N22:O22"/>
    <mergeCell ref="L22:M22"/>
    <mergeCell ref="P21:Q21"/>
    <mergeCell ref="P25:Q25"/>
    <mergeCell ref="L18:M18"/>
    <mergeCell ref="P18:Q18"/>
    <mergeCell ref="L25:M25"/>
    <mergeCell ref="N25:O25"/>
    <mergeCell ref="N18:O18"/>
    <mergeCell ref="L17:M17"/>
    <mergeCell ref="N17:O17"/>
    <mergeCell ref="N26:O26"/>
    <mergeCell ref="E30:F30"/>
    <mergeCell ref="E26:F26"/>
    <mergeCell ref="G26:H26"/>
    <mergeCell ref="I26:J26"/>
    <mergeCell ref="L26:M26"/>
    <mergeCell ref="G30:H30"/>
    <mergeCell ref="L29:M29"/>
    <mergeCell ref="G29:H29"/>
    <mergeCell ref="I29:J29"/>
    <mergeCell ref="P34:Q34"/>
    <mergeCell ref="P30:Q30"/>
    <mergeCell ref="N30:O30"/>
    <mergeCell ref="L30:M30"/>
    <mergeCell ref="I30:J30"/>
    <mergeCell ref="L9:M9"/>
    <mergeCell ref="N9:O9"/>
    <mergeCell ref="P9:R9"/>
    <mergeCell ref="E13:F13"/>
    <mergeCell ref="G13:H13"/>
    <mergeCell ref="I13:J13"/>
    <mergeCell ref="G9:H9"/>
    <mergeCell ref="I9:J9"/>
    <mergeCell ref="D9:F9"/>
    <mergeCell ref="R13:R35"/>
    <mergeCell ref="E34:F34"/>
    <mergeCell ref="G34:H34"/>
    <mergeCell ref="I34:J34"/>
    <mergeCell ref="L34:M34"/>
    <mergeCell ref="N34:O34"/>
    <mergeCell ref="L21:M21"/>
    <mergeCell ref="E38:F38"/>
    <mergeCell ref="P38:Q38"/>
    <mergeCell ref="G38:O38"/>
    <mergeCell ref="E33:F33"/>
    <mergeCell ref="G33:H33"/>
    <mergeCell ref="I33:J33"/>
    <mergeCell ref="L33:M33"/>
    <mergeCell ref="K10:K35"/>
    <mergeCell ref="D11:E11"/>
    <mergeCell ref="Q11:R11"/>
    <mergeCell ref="N33:O33"/>
    <mergeCell ref="P33:Q33"/>
    <mergeCell ref="E17:F17"/>
    <mergeCell ref="N29:O29"/>
    <mergeCell ref="P29:Q29"/>
    <mergeCell ref="N21:O21"/>
    <mergeCell ref="G17:H17"/>
    <mergeCell ref="I17:J17"/>
    <mergeCell ref="E29:F29"/>
    <mergeCell ref="E25:F25"/>
    <mergeCell ref="G25:H25"/>
    <mergeCell ref="I25:J25"/>
    <mergeCell ref="E22:F22"/>
    <mergeCell ref="E18:F18"/>
    <mergeCell ref="G18:H18"/>
    <mergeCell ref="I18:J18"/>
    <mergeCell ref="G22:H22"/>
    <mergeCell ref="E21:F21"/>
    <mergeCell ref="G21:H21"/>
    <mergeCell ref="I21:J21"/>
    <mergeCell ref="I22:J22"/>
  </mergeCells>
  <conditionalFormatting sqref="E33:F33 D9">
    <cfRule type="containsText" dxfId="163" priority="185" operator="containsText" text="bLOQUEADO">
      <formula>NOT(ISERROR(SEARCH("bLOQUEADO",D9)))</formula>
    </cfRule>
    <cfRule type="containsText" dxfId="162" priority="186" operator="containsText" text="RESERVADO">
      <formula>NOT(ISERROR(SEARCH("RESERVADO",D9)))</formula>
    </cfRule>
    <cfRule type="containsText" dxfId="161" priority="187" operator="containsText" text="DISPONIBLE">
      <formula>NOT(ISERROR(SEARCH("DISPONIBLE",D9)))</formula>
    </cfRule>
    <cfRule type="containsText" dxfId="160" priority="188" operator="containsText" text="VENDIDO">
      <formula>NOT(ISERROR(SEARCH("VENDIDO",D9)))</formula>
    </cfRule>
  </conditionalFormatting>
  <conditionalFormatting sqref="G33:H33">
    <cfRule type="containsText" dxfId="159" priority="161" operator="containsText" text="bLOQUEADO">
      <formula>NOT(ISERROR(SEARCH("bLOQUEADO",G33)))</formula>
    </cfRule>
    <cfRule type="containsText" dxfId="158" priority="162" operator="containsText" text="RESERVADO">
      <formula>NOT(ISERROR(SEARCH("RESERVADO",G33)))</formula>
    </cfRule>
    <cfRule type="containsText" dxfId="157" priority="163" operator="containsText" text="DISPONIBLE">
      <formula>NOT(ISERROR(SEARCH("DISPONIBLE",G33)))</formula>
    </cfRule>
    <cfRule type="containsText" dxfId="156" priority="164" operator="containsText" text="VENDIDO">
      <formula>NOT(ISERROR(SEARCH("VENDIDO",G33)))</formula>
    </cfRule>
  </conditionalFormatting>
  <conditionalFormatting sqref="G29:H29">
    <cfRule type="containsText" dxfId="155" priority="137" operator="containsText" text="bLOQUEADO">
      <formula>NOT(ISERROR(SEARCH("bLOQUEADO",G29)))</formula>
    </cfRule>
    <cfRule type="containsText" dxfId="154" priority="138" operator="containsText" text="RESERVADO">
      <formula>NOT(ISERROR(SEARCH("RESERVADO",G29)))</formula>
    </cfRule>
    <cfRule type="containsText" dxfId="153" priority="139" operator="containsText" text="DISPONIBLE">
      <formula>NOT(ISERROR(SEARCH("DISPONIBLE",G29)))</formula>
    </cfRule>
    <cfRule type="containsText" dxfId="152" priority="140" operator="containsText" text="VENDIDO">
      <formula>NOT(ISERROR(SEARCH("VENDIDO",G29)))</formula>
    </cfRule>
  </conditionalFormatting>
  <conditionalFormatting sqref="G25:H25">
    <cfRule type="containsText" dxfId="151" priority="125" operator="containsText" text="bLOQUEADO">
      <formula>NOT(ISERROR(SEARCH("bLOQUEADO",G25)))</formula>
    </cfRule>
    <cfRule type="containsText" dxfId="150" priority="126" operator="containsText" text="RESERVADO">
      <formula>NOT(ISERROR(SEARCH("RESERVADO",G25)))</formula>
    </cfRule>
    <cfRule type="containsText" dxfId="149" priority="127" operator="containsText" text="DISPONIBLE">
      <formula>NOT(ISERROR(SEARCH("DISPONIBLE",G25)))</formula>
    </cfRule>
    <cfRule type="containsText" dxfId="148" priority="128" operator="containsText" text="VENDIDO">
      <formula>NOT(ISERROR(SEARCH("VENDIDO",G25)))</formula>
    </cfRule>
  </conditionalFormatting>
  <conditionalFormatting sqref="G21:H21">
    <cfRule type="containsText" dxfId="147" priority="113" operator="containsText" text="bLOQUEADO">
      <formula>NOT(ISERROR(SEARCH("bLOQUEADO",G21)))</formula>
    </cfRule>
    <cfRule type="containsText" dxfId="146" priority="114" operator="containsText" text="RESERVADO">
      <formula>NOT(ISERROR(SEARCH("RESERVADO",G21)))</formula>
    </cfRule>
    <cfRule type="containsText" dxfId="145" priority="115" operator="containsText" text="DISPONIBLE">
      <formula>NOT(ISERROR(SEARCH("DISPONIBLE",G21)))</formula>
    </cfRule>
    <cfRule type="containsText" dxfId="144" priority="116" operator="containsText" text="VENDIDO">
      <formula>NOT(ISERROR(SEARCH("VENDIDO",G21)))</formula>
    </cfRule>
  </conditionalFormatting>
  <conditionalFormatting sqref="G13:H13">
    <cfRule type="containsText" dxfId="143" priority="89" operator="containsText" text="bLOQUEADO">
      <formula>NOT(ISERROR(SEARCH("bLOQUEADO",G13)))</formula>
    </cfRule>
    <cfRule type="containsText" dxfId="142" priority="90" operator="containsText" text="RESERVADO">
      <formula>NOT(ISERROR(SEARCH("RESERVADO",G13)))</formula>
    </cfRule>
    <cfRule type="containsText" dxfId="141" priority="91" operator="containsText" text="DISPONIBLE">
      <formula>NOT(ISERROR(SEARCH("DISPONIBLE",G13)))</formula>
    </cfRule>
    <cfRule type="containsText" dxfId="140" priority="92" operator="containsText" text="VENDIDO">
      <formula>NOT(ISERROR(SEARCH("VENDIDO",G13)))</formula>
    </cfRule>
  </conditionalFormatting>
  <conditionalFormatting sqref="I33:J33">
    <cfRule type="containsText" dxfId="139" priority="157" operator="containsText" text="bLOQUEADO">
      <formula>NOT(ISERROR(SEARCH("bLOQUEADO",I33)))</formula>
    </cfRule>
    <cfRule type="containsText" dxfId="138" priority="158" operator="containsText" text="RESERVADO">
      <formula>NOT(ISERROR(SEARCH("RESERVADO",I33)))</formula>
    </cfRule>
    <cfRule type="containsText" dxfId="137" priority="159" operator="containsText" text="DISPONIBLE">
      <formula>NOT(ISERROR(SEARCH("DISPONIBLE",I33)))</formula>
    </cfRule>
    <cfRule type="containsText" dxfId="136" priority="160" operator="containsText" text="VENDIDO">
      <formula>NOT(ISERROR(SEARCH("VENDIDO",I33)))</formula>
    </cfRule>
  </conditionalFormatting>
  <conditionalFormatting sqref="L33:M33">
    <cfRule type="containsText" dxfId="135" priority="153" operator="containsText" text="bLOQUEADO">
      <formula>NOT(ISERROR(SEARCH("bLOQUEADO",L33)))</formula>
    </cfRule>
    <cfRule type="containsText" dxfId="134" priority="154" operator="containsText" text="RESERVADO">
      <formula>NOT(ISERROR(SEARCH("RESERVADO",L33)))</formula>
    </cfRule>
    <cfRule type="containsText" dxfId="133" priority="155" operator="containsText" text="DISPONIBLE">
      <formula>NOT(ISERROR(SEARCH("DISPONIBLE",L33)))</formula>
    </cfRule>
    <cfRule type="containsText" dxfId="132" priority="156" operator="containsText" text="VENDIDO">
      <formula>NOT(ISERROR(SEARCH("VENDIDO",L33)))</formula>
    </cfRule>
  </conditionalFormatting>
  <conditionalFormatting sqref="N33:O33">
    <cfRule type="containsText" dxfId="131" priority="149" operator="containsText" text="bLOQUEADO">
      <formula>NOT(ISERROR(SEARCH("bLOQUEADO",N33)))</formula>
    </cfRule>
    <cfRule type="containsText" dxfId="130" priority="150" operator="containsText" text="RESERVADO">
      <formula>NOT(ISERROR(SEARCH("RESERVADO",N33)))</formula>
    </cfRule>
    <cfRule type="containsText" dxfId="129" priority="151" operator="containsText" text="DISPONIBLE">
      <formula>NOT(ISERROR(SEARCH("DISPONIBLE",N33)))</formula>
    </cfRule>
    <cfRule type="containsText" dxfId="128" priority="152" operator="containsText" text="VENDIDO">
      <formula>NOT(ISERROR(SEARCH("VENDIDO",N33)))</formula>
    </cfRule>
  </conditionalFormatting>
  <conditionalFormatting sqref="P33:Q33">
    <cfRule type="containsText" dxfId="127" priority="145" operator="containsText" text="bLOQUEADO">
      <formula>NOT(ISERROR(SEARCH("bLOQUEADO",P33)))</formula>
    </cfRule>
    <cfRule type="containsText" dxfId="126" priority="146" operator="containsText" text="RESERVADO">
      <formula>NOT(ISERROR(SEARCH("RESERVADO",P33)))</formula>
    </cfRule>
    <cfRule type="containsText" dxfId="125" priority="147" operator="containsText" text="DISPONIBLE">
      <formula>NOT(ISERROR(SEARCH("DISPONIBLE",P33)))</formula>
    </cfRule>
    <cfRule type="containsText" dxfId="124" priority="148" operator="containsText" text="VENDIDO">
      <formula>NOT(ISERROR(SEARCH("VENDIDO",P33)))</formula>
    </cfRule>
  </conditionalFormatting>
  <conditionalFormatting sqref="E29:F29">
    <cfRule type="containsText" dxfId="123" priority="141" operator="containsText" text="bLOQUEADO">
      <formula>NOT(ISERROR(SEARCH("bLOQUEADO",E29)))</formula>
    </cfRule>
    <cfRule type="containsText" dxfId="122" priority="142" operator="containsText" text="RESERVADO">
      <formula>NOT(ISERROR(SEARCH("RESERVADO",E29)))</formula>
    </cfRule>
    <cfRule type="containsText" dxfId="121" priority="143" operator="containsText" text="DISPONIBLE">
      <formula>NOT(ISERROR(SEARCH("DISPONIBLE",E29)))</formula>
    </cfRule>
    <cfRule type="containsText" dxfId="120" priority="144" operator="containsText" text="VENDIDO">
      <formula>NOT(ISERROR(SEARCH("VENDIDO",E29)))</formula>
    </cfRule>
  </conditionalFormatting>
  <conditionalFormatting sqref="I29:J29">
    <cfRule type="containsText" dxfId="119" priority="133" operator="containsText" text="bLOQUEADO">
      <formula>NOT(ISERROR(SEARCH("bLOQUEADO",I29)))</formula>
    </cfRule>
    <cfRule type="containsText" dxfId="118" priority="134" operator="containsText" text="RESERVADO">
      <formula>NOT(ISERROR(SEARCH("RESERVADO",I29)))</formula>
    </cfRule>
    <cfRule type="containsText" dxfId="117" priority="135" operator="containsText" text="DISPONIBLE">
      <formula>NOT(ISERROR(SEARCH("DISPONIBLE",I29)))</formula>
    </cfRule>
    <cfRule type="containsText" dxfId="116" priority="136" operator="containsText" text="VENDIDO">
      <formula>NOT(ISERROR(SEARCH("VENDIDO",I29)))</formula>
    </cfRule>
  </conditionalFormatting>
  <conditionalFormatting sqref="E25:F25">
    <cfRule type="containsText" dxfId="115" priority="129" operator="containsText" text="bLOQUEADO">
      <formula>NOT(ISERROR(SEARCH("bLOQUEADO",E25)))</formula>
    </cfRule>
    <cfRule type="containsText" dxfId="114" priority="130" operator="containsText" text="RESERVADO">
      <formula>NOT(ISERROR(SEARCH("RESERVADO",E25)))</formula>
    </cfRule>
    <cfRule type="containsText" dxfId="113" priority="131" operator="containsText" text="DISPONIBLE">
      <formula>NOT(ISERROR(SEARCH("DISPONIBLE",E25)))</formula>
    </cfRule>
    <cfRule type="containsText" dxfId="112" priority="132" operator="containsText" text="VENDIDO">
      <formula>NOT(ISERROR(SEARCH("VENDIDO",E25)))</formula>
    </cfRule>
  </conditionalFormatting>
  <conditionalFormatting sqref="I25:J25">
    <cfRule type="containsText" dxfId="111" priority="121" operator="containsText" text="bLOQUEADO">
      <formula>NOT(ISERROR(SEARCH("bLOQUEADO",I25)))</formula>
    </cfRule>
    <cfRule type="containsText" dxfId="110" priority="122" operator="containsText" text="RESERVADO">
      <formula>NOT(ISERROR(SEARCH("RESERVADO",I25)))</formula>
    </cfRule>
    <cfRule type="containsText" dxfId="109" priority="123" operator="containsText" text="DISPONIBLE">
      <formula>NOT(ISERROR(SEARCH("DISPONIBLE",I25)))</formula>
    </cfRule>
    <cfRule type="containsText" dxfId="108" priority="124" operator="containsText" text="VENDIDO">
      <formula>NOT(ISERROR(SEARCH("VENDIDO",I25)))</formula>
    </cfRule>
  </conditionalFormatting>
  <conditionalFormatting sqref="E21:F21">
    <cfRule type="containsText" dxfId="107" priority="117" operator="containsText" text="bLOQUEADO">
      <formula>NOT(ISERROR(SEARCH("bLOQUEADO",E21)))</formula>
    </cfRule>
    <cfRule type="containsText" dxfId="106" priority="118" operator="containsText" text="RESERVADO">
      <formula>NOT(ISERROR(SEARCH("RESERVADO",E21)))</formula>
    </cfRule>
    <cfRule type="containsText" dxfId="105" priority="119" operator="containsText" text="DISPONIBLE">
      <formula>NOT(ISERROR(SEARCH("DISPONIBLE",E21)))</formula>
    </cfRule>
    <cfRule type="containsText" dxfId="104" priority="120" operator="containsText" text="VENDIDO">
      <formula>NOT(ISERROR(SEARCH("VENDIDO",E21)))</formula>
    </cfRule>
  </conditionalFormatting>
  <conditionalFormatting sqref="I21:J21">
    <cfRule type="containsText" dxfId="103" priority="109" operator="containsText" text="bLOQUEADO">
      <formula>NOT(ISERROR(SEARCH("bLOQUEADO",I21)))</formula>
    </cfRule>
    <cfRule type="containsText" dxfId="102" priority="110" operator="containsText" text="RESERVADO">
      <formula>NOT(ISERROR(SEARCH("RESERVADO",I21)))</formula>
    </cfRule>
    <cfRule type="containsText" dxfId="101" priority="111" operator="containsText" text="DISPONIBLE">
      <formula>NOT(ISERROR(SEARCH("DISPONIBLE",I21)))</formula>
    </cfRule>
    <cfRule type="containsText" dxfId="100" priority="112" operator="containsText" text="VENDIDO">
      <formula>NOT(ISERROR(SEARCH("VENDIDO",I21)))</formula>
    </cfRule>
  </conditionalFormatting>
  <conditionalFormatting sqref="E17:F17">
    <cfRule type="containsText" dxfId="99" priority="105" operator="containsText" text="bLOQUEADO">
      <formula>NOT(ISERROR(SEARCH("bLOQUEADO",E17)))</formula>
    </cfRule>
    <cfRule type="containsText" dxfId="98" priority="106" operator="containsText" text="RESERVADO">
      <formula>NOT(ISERROR(SEARCH("RESERVADO",E17)))</formula>
    </cfRule>
    <cfRule type="containsText" dxfId="97" priority="107" operator="containsText" text="DISPONIBLE">
      <formula>NOT(ISERROR(SEARCH("DISPONIBLE",E17)))</formula>
    </cfRule>
    <cfRule type="containsText" dxfId="96" priority="108" operator="containsText" text="VENDIDO">
      <formula>NOT(ISERROR(SEARCH("VENDIDO",E17)))</formula>
    </cfRule>
  </conditionalFormatting>
  <conditionalFormatting sqref="G17:H17">
    <cfRule type="containsText" dxfId="95" priority="101" operator="containsText" text="bLOQUEADO">
      <formula>NOT(ISERROR(SEARCH("bLOQUEADO",G17)))</formula>
    </cfRule>
    <cfRule type="containsText" dxfId="94" priority="102" operator="containsText" text="RESERVADO">
      <formula>NOT(ISERROR(SEARCH("RESERVADO",G17)))</formula>
    </cfRule>
    <cfRule type="containsText" dxfId="93" priority="103" operator="containsText" text="DISPONIBLE">
      <formula>NOT(ISERROR(SEARCH("DISPONIBLE",G17)))</formula>
    </cfRule>
    <cfRule type="containsText" dxfId="92" priority="104" operator="containsText" text="VENDIDO">
      <formula>NOT(ISERROR(SEARCH("VENDIDO",G17)))</formula>
    </cfRule>
  </conditionalFormatting>
  <conditionalFormatting sqref="I17:J17">
    <cfRule type="containsText" dxfId="91" priority="97" operator="containsText" text="bLOQUEADO">
      <formula>NOT(ISERROR(SEARCH("bLOQUEADO",I17)))</formula>
    </cfRule>
    <cfRule type="containsText" dxfId="90" priority="98" operator="containsText" text="RESERVADO">
      <formula>NOT(ISERROR(SEARCH("RESERVADO",I17)))</formula>
    </cfRule>
    <cfRule type="containsText" dxfId="89" priority="99" operator="containsText" text="DISPONIBLE">
      <formula>NOT(ISERROR(SEARCH("DISPONIBLE",I17)))</formula>
    </cfRule>
    <cfRule type="containsText" dxfId="88" priority="100" operator="containsText" text="VENDIDO">
      <formula>NOT(ISERROR(SEARCH("VENDIDO",I17)))</formula>
    </cfRule>
  </conditionalFormatting>
  <conditionalFormatting sqref="E13:F13">
    <cfRule type="containsText" dxfId="87" priority="93" operator="containsText" text="bLOQUEADO">
      <formula>NOT(ISERROR(SEARCH("bLOQUEADO",E13)))</formula>
    </cfRule>
    <cfRule type="containsText" dxfId="86" priority="94" operator="containsText" text="RESERVADO">
      <formula>NOT(ISERROR(SEARCH("RESERVADO",E13)))</formula>
    </cfRule>
    <cfRule type="containsText" dxfId="85" priority="95" operator="containsText" text="DISPONIBLE">
      <formula>NOT(ISERROR(SEARCH("DISPONIBLE",E13)))</formula>
    </cfRule>
    <cfRule type="containsText" dxfId="84" priority="96" operator="containsText" text="VENDIDO">
      <formula>NOT(ISERROR(SEARCH("VENDIDO",E13)))</formula>
    </cfRule>
  </conditionalFormatting>
  <conditionalFormatting sqref="I13:J13">
    <cfRule type="containsText" dxfId="83" priority="85" operator="containsText" text="bLOQUEADO">
      <formula>NOT(ISERROR(SEARCH("bLOQUEADO",I13)))</formula>
    </cfRule>
    <cfRule type="containsText" dxfId="82" priority="86" operator="containsText" text="RESERVADO">
      <formula>NOT(ISERROR(SEARCH("RESERVADO",I13)))</formula>
    </cfRule>
    <cfRule type="containsText" dxfId="81" priority="87" operator="containsText" text="DISPONIBLE">
      <formula>NOT(ISERROR(SEARCH("DISPONIBLE",I13)))</formula>
    </cfRule>
    <cfRule type="containsText" dxfId="80" priority="88" operator="containsText" text="VENDIDO">
      <formula>NOT(ISERROR(SEARCH("VENDIDO",I13)))</formula>
    </cfRule>
  </conditionalFormatting>
  <conditionalFormatting sqref="G9:H9">
    <cfRule type="containsText" dxfId="79" priority="77" operator="containsText" text="bLOQUEADO">
      <formula>NOT(ISERROR(SEARCH("bLOQUEADO",G9)))</formula>
    </cfRule>
    <cfRule type="containsText" dxfId="78" priority="78" operator="containsText" text="RESERVADO">
      <formula>NOT(ISERROR(SEARCH("RESERVADO",G9)))</formula>
    </cfRule>
    <cfRule type="containsText" dxfId="77" priority="79" operator="containsText" text="DISPONIBLE">
      <formula>NOT(ISERROR(SEARCH("DISPONIBLE",G9)))</formula>
    </cfRule>
    <cfRule type="containsText" dxfId="76" priority="80" operator="containsText" text="VENDIDO">
      <formula>NOT(ISERROR(SEARCH("VENDIDO",G9)))</formula>
    </cfRule>
  </conditionalFormatting>
  <conditionalFormatting sqref="I9:J9">
    <cfRule type="containsText" dxfId="75" priority="73" operator="containsText" text="bLOQUEADO">
      <formula>NOT(ISERROR(SEARCH("bLOQUEADO",I9)))</formula>
    </cfRule>
    <cfRule type="containsText" dxfId="74" priority="74" operator="containsText" text="RESERVADO">
      <formula>NOT(ISERROR(SEARCH("RESERVADO",I9)))</formula>
    </cfRule>
    <cfRule type="containsText" dxfId="73" priority="75" operator="containsText" text="DISPONIBLE">
      <formula>NOT(ISERROR(SEARCH("DISPONIBLE",I9)))</formula>
    </cfRule>
    <cfRule type="containsText" dxfId="72" priority="76" operator="containsText" text="VENDIDO">
      <formula>NOT(ISERROR(SEARCH("VENDIDO",I9)))</formula>
    </cfRule>
  </conditionalFormatting>
  <conditionalFormatting sqref="P29:Q29">
    <cfRule type="containsText" dxfId="71" priority="1" operator="containsText" text="bLOQUEADO">
      <formula>NOT(ISERROR(SEARCH("bLOQUEADO",P29)))</formula>
    </cfRule>
    <cfRule type="containsText" dxfId="70" priority="2" operator="containsText" text="RESERVADO">
      <formula>NOT(ISERROR(SEARCH("RESERVADO",P29)))</formula>
    </cfRule>
    <cfRule type="containsText" dxfId="69" priority="3" operator="containsText" text="DISPONIBLE">
      <formula>NOT(ISERROR(SEARCH("DISPONIBLE",P29)))</formula>
    </cfRule>
    <cfRule type="containsText" dxfId="68" priority="4" operator="containsText" text="VENDIDO">
      <formula>NOT(ISERROR(SEARCH("VENDIDO",P29)))</formula>
    </cfRule>
  </conditionalFormatting>
  <conditionalFormatting sqref="L9:M9">
    <cfRule type="containsText" dxfId="67" priority="69" operator="containsText" text="bLOQUEADO">
      <formula>NOT(ISERROR(SEARCH("bLOQUEADO",L9)))</formula>
    </cfRule>
    <cfRule type="containsText" dxfId="66" priority="70" operator="containsText" text="RESERVADO">
      <formula>NOT(ISERROR(SEARCH("RESERVADO",L9)))</formula>
    </cfRule>
    <cfRule type="containsText" dxfId="65" priority="71" operator="containsText" text="DISPONIBLE">
      <formula>NOT(ISERROR(SEARCH("DISPONIBLE",L9)))</formula>
    </cfRule>
    <cfRule type="containsText" dxfId="64" priority="72" operator="containsText" text="VENDIDO">
      <formula>NOT(ISERROR(SEARCH("VENDIDO",L9)))</formula>
    </cfRule>
  </conditionalFormatting>
  <conditionalFormatting sqref="N9:O9">
    <cfRule type="containsText" dxfId="63" priority="65" operator="containsText" text="bLOQUEADO">
      <formula>NOT(ISERROR(SEARCH("bLOQUEADO",N9)))</formula>
    </cfRule>
    <cfRule type="containsText" dxfId="62" priority="66" operator="containsText" text="RESERVADO">
      <formula>NOT(ISERROR(SEARCH("RESERVADO",N9)))</formula>
    </cfRule>
    <cfRule type="containsText" dxfId="61" priority="67" operator="containsText" text="DISPONIBLE">
      <formula>NOT(ISERROR(SEARCH("DISPONIBLE",N9)))</formula>
    </cfRule>
    <cfRule type="containsText" dxfId="60" priority="68" operator="containsText" text="VENDIDO">
      <formula>NOT(ISERROR(SEARCH("VENDIDO",N9)))</formula>
    </cfRule>
  </conditionalFormatting>
  <conditionalFormatting sqref="P9">
    <cfRule type="containsText" dxfId="59" priority="61" operator="containsText" text="bLOQUEADO">
      <formula>NOT(ISERROR(SEARCH("bLOQUEADO",P9)))</formula>
    </cfRule>
    <cfRule type="containsText" dxfId="58" priority="62" operator="containsText" text="RESERVADO">
      <formula>NOT(ISERROR(SEARCH("RESERVADO",P9)))</formula>
    </cfRule>
    <cfRule type="containsText" dxfId="57" priority="63" operator="containsText" text="DISPONIBLE">
      <formula>NOT(ISERROR(SEARCH("DISPONIBLE",P9)))</formula>
    </cfRule>
    <cfRule type="containsText" dxfId="56" priority="64" operator="containsText" text="VENDIDO">
      <formula>NOT(ISERROR(SEARCH("VENDIDO",P9)))</formula>
    </cfRule>
  </conditionalFormatting>
  <conditionalFormatting sqref="N13:O13">
    <cfRule type="containsText" dxfId="55" priority="53" operator="containsText" text="bLOQUEADO">
      <formula>NOT(ISERROR(SEARCH("bLOQUEADO",N13)))</formula>
    </cfRule>
    <cfRule type="containsText" dxfId="54" priority="54" operator="containsText" text="RESERVADO">
      <formula>NOT(ISERROR(SEARCH("RESERVADO",N13)))</formula>
    </cfRule>
    <cfRule type="containsText" dxfId="53" priority="55" operator="containsText" text="DISPONIBLE">
      <formula>NOT(ISERROR(SEARCH("DISPONIBLE",N13)))</formula>
    </cfRule>
    <cfRule type="containsText" dxfId="52" priority="56" operator="containsText" text="VENDIDO">
      <formula>NOT(ISERROR(SEARCH("VENDIDO",N13)))</formula>
    </cfRule>
  </conditionalFormatting>
  <conditionalFormatting sqref="L13:M13">
    <cfRule type="containsText" dxfId="51" priority="57" operator="containsText" text="bLOQUEADO">
      <formula>NOT(ISERROR(SEARCH("bLOQUEADO",L13)))</formula>
    </cfRule>
    <cfRule type="containsText" dxfId="50" priority="58" operator="containsText" text="RESERVADO">
      <formula>NOT(ISERROR(SEARCH("RESERVADO",L13)))</formula>
    </cfRule>
    <cfRule type="containsText" dxfId="49" priority="59" operator="containsText" text="DISPONIBLE">
      <formula>NOT(ISERROR(SEARCH("DISPONIBLE",L13)))</formula>
    </cfRule>
    <cfRule type="containsText" dxfId="48" priority="60" operator="containsText" text="VENDIDO">
      <formula>NOT(ISERROR(SEARCH("VENDIDO",L13)))</formula>
    </cfRule>
  </conditionalFormatting>
  <conditionalFormatting sqref="P13:Q13">
    <cfRule type="containsText" dxfId="47" priority="49" operator="containsText" text="bLOQUEADO">
      <formula>NOT(ISERROR(SEARCH("bLOQUEADO",P13)))</formula>
    </cfRule>
    <cfRule type="containsText" dxfId="46" priority="50" operator="containsText" text="RESERVADO">
      <formula>NOT(ISERROR(SEARCH("RESERVADO",P13)))</formula>
    </cfRule>
    <cfRule type="containsText" dxfId="45" priority="51" operator="containsText" text="DISPONIBLE">
      <formula>NOT(ISERROR(SEARCH("DISPONIBLE",P13)))</formula>
    </cfRule>
    <cfRule type="containsText" dxfId="44" priority="52" operator="containsText" text="VENDIDO">
      <formula>NOT(ISERROR(SEARCH("VENDIDO",P13)))</formula>
    </cfRule>
  </conditionalFormatting>
  <conditionalFormatting sqref="N17:O17">
    <cfRule type="containsText" dxfId="43" priority="41" operator="containsText" text="bLOQUEADO">
      <formula>NOT(ISERROR(SEARCH("bLOQUEADO",N17)))</formula>
    </cfRule>
    <cfRule type="containsText" dxfId="42" priority="42" operator="containsText" text="RESERVADO">
      <formula>NOT(ISERROR(SEARCH("RESERVADO",N17)))</formula>
    </cfRule>
    <cfRule type="containsText" dxfId="41" priority="43" operator="containsText" text="DISPONIBLE">
      <formula>NOT(ISERROR(SEARCH("DISPONIBLE",N17)))</formula>
    </cfRule>
    <cfRule type="containsText" dxfId="40" priority="44" operator="containsText" text="VENDIDO">
      <formula>NOT(ISERROR(SEARCH("VENDIDO",N17)))</formula>
    </cfRule>
  </conditionalFormatting>
  <conditionalFormatting sqref="L17:M17">
    <cfRule type="containsText" dxfId="39" priority="45" operator="containsText" text="bLOQUEADO">
      <formula>NOT(ISERROR(SEARCH("bLOQUEADO",L17)))</formula>
    </cfRule>
    <cfRule type="containsText" dxfId="38" priority="46" operator="containsText" text="RESERVADO">
      <formula>NOT(ISERROR(SEARCH("RESERVADO",L17)))</formula>
    </cfRule>
    <cfRule type="containsText" dxfId="37" priority="47" operator="containsText" text="DISPONIBLE">
      <formula>NOT(ISERROR(SEARCH("DISPONIBLE",L17)))</formula>
    </cfRule>
    <cfRule type="containsText" dxfId="36" priority="48" operator="containsText" text="VENDIDO">
      <formula>NOT(ISERROR(SEARCH("VENDIDO",L17)))</formula>
    </cfRule>
  </conditionalFormatting>
  <conditionalFormatting sqref="P17:Q17">
    <cfRule type="containsText" dxfId="35" priority="37" operator="containsText" text="bLOQUEADO">
      <formula>NOT(ISERROR(SEARCH("bLOQUEADO",P17)))</formula>
    </cfRule>
    <cfRule type="containsText" dxfId="34" priority="38" operator="containsText" text="RESERVADO">
      <formula>NOT(ISERROR(SEARCH("RESERVADO",P17)))</formula>
    </cfRule>
    <cfRule type="containsText" dxfId="33" priority="39" operator="containsText" text="DISPONIBLE">
      <formula>NOT(ISERROR(SEARCH("DISPONIBLE",P17)))</formula>
    </cfRule>
    <cfRule type="containsText" dxfId="32" priority="40" operator="containsText" text="VENDIDO">
      <formula>NOT(ISERROR(SEARCH("VENDIDO",P17)))</formula>
    </cfRule>
  </conditionalFormatting>
  <conditionalFormatting sqref="N21:O21">
    <cfRule type="containsText" dxfId="31" priority="29" operator="containsText" text="bLOQUEADO">
      <formula>NOT(ISERROR(SEARCH("bLOQUEADO",N21)))</formula>
    </cfRule>
    <cfRule type="containsText" dxfId="30" priority="30" operator="containsText" text="RESERVADO">
      <formula>NOT(ISERROR(SEARCH("RESERVADO",N21)))</formula>
    </cfRule>
    <cfRule type="containsText" dxfId="29" priority="31" operator="containsText" text="DISPONIBLE">
      <formula>NOT(ISERROR(SEARCH("DISPONIBLE",N21)))</formula>
    </cfRule>
    <cfRule type="containsText" dxfId="28" priority="32" operator="containsText" text="VENDIDO">
      <formula>NOT(ISERROR(SEARCH("VENDIDO",N21)))</formula>
    </cfRule>
  </conditionalFormatting>
  <conditionalFormatting sqref="L21:M21">
    <cfRule type="containsText" dxfId="27" priority="33" operator="containsText" text="bLOQUEADO">
      <formula>NOT(ISERROR(SEARCH("bLOQUEADO",L21)))</formula>
    </cfRule>
    <cfRule type="containsText" dxfId="26" priority="34" operator="containsText" text="RESERVADO">
      <formula>NOT(ISERROR(SEARCH("RESERVADO",L21)))</formula>
    </cfRule>
    <cfRule type="containsText" dxfId="25" priority="35" operator="containsText" text="DISPONIBLE">
      <formula>NOT(ISERROR(SEARCH("DISPONIBLE",L21)))</formula>
    </cfRule>
    <cfRule type="containsText" dxfId="24" priority="36" operator="containsText" text="VENDIDO">
      <formula>NOT(ISERROR(SEARCH("VENDIDO",L21)))</formula>
    </cfRule>
  </conditionalFormatting>
  <conditionalFormatting sqref="P21:Q21">
    <cfRule type="containsText" dxfId="23" priority="25" operator="containsText" text="bLOQUEADO">
      <formula>NOT(ISERROR(SEARCH("bLOQUEADO",P21)))</formula>
    </cfRule>
    <cfRule type="containsText" dxfId="22" priority="26" operator="containsText" text="RESERVADO">
      <formula>NOT(ISERROR(SEARCH("RESERVADO",P21)))</formula>
    </cfRule>
    <cfRule type="containsText" dxfId="21" priority="27" operator="containsText" text="DISPONIBLE">
      <formula>NOT(ISERROR(SEARCH("DISPONIBLE",P21)))</formula>
    </cfRule>
    <cfRule type="containsText" dxfId="20" priority="28" operator="containsText" text="VENDIDO">
      <formula>NOT(ISERROR(SEARCH("VENDIDO",P21)))</formula>
    </cfRule>
  </conditionalFormatting>
  <conditionalFormatting sqref="N25:O25">
    <cfRule type="containsText" dxfId="19" priority="17" operator="containsText" text="bLOQUEADO">
      <formula>NOT(ISERROR(SEARCH("bLOQUEADO",N25)))</formula>
    </cfRule>
    <cfRule type="containsText" dxfId="18" priority="18" operator="containsText" text="RESERVADO">
      <formula>NOT(ISERROR(SEARCH("RESERVADO",N25)))</formula>
    </cfRule>
    <cfRule type="containsText" dxfId="17" priority="19" operator="containsText" text="DISPONIBLE">
      <formula>NOT(ISERROR(SEARCH("DISPONIBLE",N25)))</formula>
    </cfRule>
    <cfRule type="containsText" dxfId="16" priority="20" operator="containsText" text="VENDIDO">
      <formula>NOT(ISERROR(SEARCH("VENDIDO",N25)))</formula>
    </cfRule>
  </conditionalFormatting>
  <conditionalFormatting sqref="L25:M25">
    <cfRule type="containsText" dxfId="15" priority="21" operator="containsText" text="bLOQUEADO">
      <formula>NOT(ISERROR(SEARCH("bLOQUEADO",L25)))</formula>
    </cfRule>
    <cfRule type="containsText" dxfId="14" priority="22" operator="containsText" text="RESERVADO">
      <formula>NOT(ISERROR(SEARCH("RESERVADO",L25)))</formula>
    </cfRule>
    <cfRule type="containsText" dxfId="13" priority="23" operator="containsText" text="DISPONIBLE">
      <formula>NOT(ISERROR(SEARCH("DISPONIBLE",L25)))</formula>
    </cfRule>
    <cfRule type="containsText" dxfId="12" priority="24" operator="containsText" text="VENDIDO">
      <formula>NOT(ISERROR(SEARCH("VENDIDO",L25)))</formula>
    </cfRule>
  </conditionalFormatting>
  <conditionalFormatting sqref="P25:Q25">
    <cfRule type="containsText" dxfId="11" priority="13" operator="containsText" text="bLOQUEADO">
      <formula>NOT(ISERROR(SEARCH("bLOQUEADO",P25)))</formula>
    </cfRule>
    <cfRule type="containsText" dxfId="10" priority="14" operator="containsText" text="RESERVADO">
      <formula>NOT(ISERROR(SEARCH("RESERVADO",P25)))</formula>
    </cfRule>
    <cfRule type="containsText" dxfId="9" priority="15" operator="containsText" text="DISPONIBLE">
      <formula>NOT(ISERROR(SEARCH("DISPONIBLE",P25)))</formula>
    </cfRule>
    <cfRule type="containsText" dxfId="8" priority="16" operator="containsText" text="VENDIDO">
      <formula>NOT(ISERROR(SEARCH("VENDIDO",P25)))</formula>
    </cfRule>
  </conditionalFormatting>
  <conditionalFormatting sqref="N29:O29">
    <cfRule type="containsText" dxfId="7" priority="5" operator="containsText" text="bLOQUEADO">
      <formula>NOT(ISERROR(SEARCH("bLOQUEADO",N29)))</formula>
    </cfRule>
    <cfRule type="containsText" dxfId="6" priority="6" operator="containsText" text="RESERVADO">
      <formula>NOT(ISERROR(SEARCH("RESERVADO",N29)))</formula>
    </cfRule>
    <cfRule type="containsText" dxfId="5" priority="7" operator="containsText" text="DISPONIBLE">
      <formula>NOT(ISERROR(SEARCH("DISPONIBLE",N29)))</formula>
    </cfRule>
    <cfRule type="containsText" dxfId="4" priority="8" operator="containsText" text="VENDIDO">
      <formula>NOT(ISERROR(SEARCH("VENDIDO",N29)))</formula>
    </cfRule>
  </conditionalFormatting>
  <conditionalFormatting sqref="L29:M29">
    <cfRule type="containsText" dxfId="3" priority="9" operator="containsText" text="bLOQUEADO">
      <formula>NOT(ISERROR(SEARCH("bLOQUEADO",L29)))</formula>
    </cfRule>
    <cfRule type="containsText" dxfId="2" priority="10" operator="containsText" text="RESERVADO">
      <formula>NOT(ISERROR(SEARCH("RESERVADO",L29)))</formula>
    </cfRule>
    <cfRule type="containsText" dxfId="1" priority="11" operator="containsText" text="DISPONIBLE">
      <formula>NOT(ISERROR(SEARCH("DISPONIBLE",L29)))</formula>
    </cfRule>
    <cfRule type="containsText" dxfId="0" priority="12" operator="containsText" text="VENDIDO">
      <formula>NOT(ISERROR(SEARCH("VENDIDO",L29)))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COTIZACION</vt:lpstr>
      <vt:lpstr>INVENTARIO</vt:lpstr>
      <vt:lpstr>PRINCING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BROKER</cp:lastModifiedBy>
  <cp:lastPrinted>2022-02-25T21:10:22Z</cp:lastPrinted>
  <dcterms:created xsi:type="dcterms:W3CDTF">2022-01-04T19:27:37Z</dcterms:created>
  <dcterms:modified xsi:type="dcterms:W3CDTF">2022-03-04T23:30:56Z</dcterms:modified>
</cp:coreProperties>
</file>