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YSI ALEMAN\Desktop\DEYSI ALEMAN\3 CENTRICO\"/>
    </mc:Choice>
  </mc:AlternateContent>
  <xr:revisionPtr revIDLastSave="0" documentId="8_{5C7D4C5E-CFBA-FC43-B75A-1C2A5188E3A1}" xr6:coauthVersionLast="47" xr6:coauthVersionMax="47" xr10:uidLastSave="{00000000-0000-0000-0000-000000000000}"/>
  <bookViews>
    <workbookView xWindow="0" yWindow="0" windowWidth="26083" windowHeight="9903" firstSheet="1" activeTab="2" xr2:uid="{00000000-000D-0000-FFFF-FFFF00000000}"/>
  </bookViews>
  <sheets>
    <sheet name="COTIZACION" sheetId="2" state="hidden" r:id="rId1"/>
    <sheet name="COTIZADOR" sheetId="6" r:id="rId2"/>
    <sheet name="INVENTARIO" sheetId="1" r:id="rId3"/>
    <sheet name="PRINCING" sheetId="3" r:id="rId4"/>
    <sheet name="CAJONES" sheetId="4" r:id="rId5"/>
  </sheets>
  <definedNames>
    <definedName name="_xlnm._FilterDatabase" localSheetId="2" hidden="1">INVENTARIO!$A$2:$U$45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M45" i="1"/>
  <c r="M53" i="1"/>
  <c r="M14" i="6"/>
  <c r="K14" i="6"/>
  <c r="J14" i="6"/>
  <c r="C13" i="6"/>
  <c r="N12" i="6"/>
  <c r="J12" i="6"/>
  <c r="C12" i="6"/>
  <c r="C31" i="6"/>
  <c r="J10" i="6"/>
  <c r="C10" i="6"/>
  <c r="J9" i="6"/>
  <c r="E9" i="6"/>
  <c r="C9" i="6"/>
  <c r="J8" i="6"/>
  <c r="K2" i="6"/>
  <c r="C25" i="6"/>
  <c r="C26" i="6"/>
  <c r="C32" i="6"/>
  <c r="C19" i="6"/>
  <c r="C20" i="6"/>
  <c r="M20" i="6"/>
  <c r="M18" i="6"/>
  <c r="M32" i="6"/>
  <c r="M31" i="6"/>
  <c r="J31" i="6"/>
  <c r="M30" i="6"/>
  <c r="M25" i="6"/>
  <c r="J25" i="6"/>
  <c r="M26" i="6"/>
  <c r="M24" i="6"/>
  <c r="M47" i="1"/>
  <c r="M49" i="1"/>
  <c r="P9" i="3"/>
  <c r="P10" i="3"/>
  <c r="I13" i="3"/>
  <c r="I14" i="3"/>
  <c r="G13" i="3"/>
  <c r="G14" i="3"/>
  <c r="E13" i="3"/>
  <c r="E14" i="3"/>
  <c r="E17" i="3"/>
  <c r="E18" i="3"/>
  <c r="G17" i="3"/>
  <c r="I17" i="3"/>
  <c r="I18" i="3"/>
  <c r="I21" i="3"/>
  <c r="G21" i="3"/>
  <c r="E21" i="3"/>
  <c r="E25" i="3"/>
  <c r="E26" i="3"/>
  <c r="G25" i="3"/>
  <c r="G26" i="3"/>
  <c r="I25" i="3"/>
  <c r="I29" i="3"/>
  <c r="I30" i="3"/>
  <c r="G29" i="3"/>
  <c r="G30" i="3"/>
  <c r="E29" i="3"/>
  <c r="E30" i="3"/>
  <c r="E33" i="3"/>
  <c r="E34" i="3"/>
  <c r="G33" i="3"/>
  <c r="I33" i="3"/>
  <c r="I34" i="3"/>
  <c r="P33" i="3"/>
  <c r="P34" i="3"/>
  <c r="N33" i="3"/>
  <c r="N34" i="3"/>
  <c r="L33" i="3"/>
  <c r="L34" i="3"/>
  <c r="L29" i="3"/>
  <c r="L30" i="3"/>
  <c r="N29" i="3"/>
  <c r="N30" i="3"/>
  <c r="P29" i="3"/>
  <c r="P30" i="3"/>
  <c r="P25" i="3"/>
  <c r="P26" i="3"/>
  <c r="N25" i="3"/>
  <c r="N26" i="3"/>
  <c r="L25" i="3"/>
  <c r="L21" i="3"/>
  <c r="L22" i="3"/>
  <c r="N21" i="3"/>
  <c r="N22" i="3"/>
  <c r="P21" i="3"/>
  <c r="P22" i="3"/>
  <c r="P17" i="3"/>
  <c r="P18" i="3"/>
  <c r="N17" i="3"/>
  <c r="N18" i="3"/>
  <c r="L17" i="3"/>
  <c r="L13" i="3"/>
  <c r="N13" i="3"/>
  <c r="P13" i="3"/>
  <c r="P14" i="3"/>
  <c r="N9" i="3"/>
  <c r="N10" i="3"/>
  <c r="L9" i="3"/>
  <c r="L10" i="3"/>
  <c r="I9" i="3"/>
  <c r="I10" i="3"/>
  <c r="G9" i="3"/>
  <c r="G10" i="3"/>
  <c r="D9" i="3"/>
  <c r="N10" i="4"/>
  <c r="Q14" i="4"/>
  <c r="Q18" i="4"/>
  <c r="Q22" i="4"/>
  <c r="Q26" i="4"/>
  <c r="Q30" i="4"/>
  <c r="Q34" i="4"/>
  <c r="O34" i="4"/>
  <c r="O30" i="4"/>
  <c r="O26" i="4"/>
  <c r="O22" i="4"/>
  <c r="O18" i="4"/>
  <c r="O14" i="4"/>
  <c r="O10" i="4"/>
  <c r="M10" i="4"/>
  <c r="M14" i="4"/>
  <c r="M18" i="4"/>
  <c r="M22" i="4"/>
  <c r="M26" i="4"/>
  <c r="M30" i="4"/>
  <c r="M34" i="4"/>
  <c r="J34" i="4"/>
  <c r="J30" i="4"/>
  <c r="J26" i="4"/>
  <c r="J22" i="4"/>
  <c r="J18" i="4"/>
  <c r="J14" i="4"/>
  <c r="J10" i="4"/>
  <c r="H10" i="4"/>
  <c r="H14" i="4"/>
  <c r="H18" i="4"/>
  <c r="H22" i="4"/>
  <c r="H26" i="4"/>
  <c r="H30" i="4"/>
  <c r="H34" i="4"/>
  <c r="F34" i="4"/>
  <c r="F30" i="4"/>
  <c r="F26" i="4"/>
  <c r="F22" i="4"/>
  <c r="F18" i="4"/>
  <c r="F14" i="4"/>
  <c r="P10" i="4"/>
  <c r="G34" i="4"/>
  <c r="E34" i="4"/>
  <c r="I34" i="4"/>
  <c r="N34" i="4"/>
  <c r="L34" i="4"/>
  <c r="P34" i="4"/>
  <c r="P30" i="4"/>
  <c r="N30" i="4"/>
  <c r="L30" i="4"/>
  <c r="I30" i="4"/>
  <c r="G30" i="4"/>
  <c r="E30" i="4"/>
  <c r="E26" i="4"/>
  <c r="G26" i="4"/>
  <c r="I26" i="4"/>
  <c r="L26" i="4"/>
  <c r="N26" i="4"/>
  <c r="P26" i="4"/>
  <c r="P22" i="4"/>
  <c r="N22" i="4"/>
  <c r="L22" i="4"/>
  <c r="I22" i="4"/>
  <c r="G22" i="4"/>
  <c r="E22" i="4"/>
  <c r="E18" i="4"/>
  <c r="G18" i="4"/>
  <c r="I18" i="4"/>
  <c r="L18" i="4"/>
  <c r="N18" i="4"/>
  <c r="P18" i="4"/>
  <c r="P14" i="4"/>
  <c r="N14" i="4"/>
  <c r="L14" i="4"/>
  <c r="I14" i="4"/>
  <c r="G14" i="4"/>
  <c r="E14" i="4"/>
  <c r="L10" i="4"/>
  <c r="I10" i="4"/>
  <c r="G10" i="4"/>
  <c r="L18" i="3"/>
  <c r="G22" i="3"/>
  <c r="I22" i="3"/>
  <c r="D10" i="3"/>
  <c r="N14" i="3"/>
  <c r="L26" i="3"/>
  <c r="E22" i="3"/>
  <c r="G18" i="3"/>
  <c r="I26" i="3"/>
  <c r="L14" i="3"/>
  <c r="F10" i="4"/>
  <c r="D10" i="4"/>
  <c r="I21" i="4"/>
  <c r="G21" i="4"/>
  <c r="E21" i="4"/>
  <c r="I25" i="4"/>
  <c r="G25" i="4"/>
  <c r="E25" i="4"/>
  <c r="I29" i="4"/>
  <c r="G29" i="4"/>
  <c r="E29" i="4"/>
  <c r="I33" i="4"/>
  <c r="G33" i="4"/>
  <c r="E33" i="4"/>
  <c r="P33" i="4"/>
  <c r="N33" i="4"/>
  <c r="L33" i="4"/>
  <c r="P29" i="4"/>
  <c r="N29" i="4"/>
  <c r="L29" i="4"/>
  <c r="P25" i="4"/>
  <c r="N25" i="4"/>
  <c r="L25" i="4"/>
  <c r="L21" i="4"/>
  <c r="N21" i="4"/>
  <c r="P21" i="4"/>
  <c r="P17" i="4"/>
  <c r="N17" i="4"/>
  <c r="L17" i="4"/>
  <c r="I17" i="4"/>
  <c r="G17" i="4"/>
  <c r="E17" i="4"/>
  <c r="G13" i="4"/>
  <c r="E13" i="4"/>
  <c r="I13" i="4"/>
  <c r="L13" i="4"/>
  <c r="N13" i="4"/>
  <c r="P13" i="4"/>
  <c r="N9" i="4"/>
  <c r="L9" i="4"/>
  <c r="I9" i="4"/>
  <c r="G9" i="4"/>
  <c r="D9" i="4"/>
  <c r="K25" i="2"/>
  <c r="M25" i="2"/>
  <c r="N23" i="2"/>
  <c r="J21" i="2"/>
  <c r="J20" i="2"/>
  <c r="J19" i="2"/>
  <c r="C24" i="2"/>
  <c r="C23" i="2"/>
  <c r="P35" i="4"/>
  <c r="N35" i="4"/>
  <c r="L35" i="4"/>
  <c r="I35" i="4"/>
  <c r="G35" i="4"/>
  <c r="E35" i="4"/>
  <c r="P31" i="4"/>
  <c r="N31" i="4"/>
  <c r="L31" i="4"/>
  <c r="I31" i="4"/>
  <c r="G31" i="4"/>
  <c r="E31" i="4"/>
  <c r="P27" i="4"/>
  <c r="N27" i="4"/>
  <c r="L27" i="4"/>
  <c r="I27" i="4"/>
  <c r="G27" i="4"/>
  <c r="E27" i="4"/>
  <c r="P23" i="4"/>
  <c r="N23" i="4"/>
  <c r="L23" i="4"/>
  <c r="I23" i="4"/>
  <c r="G23" i="4"/>
  <c r="E23" i="4"/>
  <c r="P19" i="4"/>
  <c r="N19" i="4"/>
  <c r="L19" i="4"/>
  <c r="I19" i="4"/>
  <c r="G19" i="4"/>
  <c r="E19" i="4"/>
  <c r="P15" i="4"/>
  <c r="N15" i="4"/>
  <c r="L15" i="4"/>
  <c r="I15" i="4"/>
  <c r="G15" i="4"/>
  <c r="E15" i="4"/>
  <c r="P11" i="4"/>
  <c r="N11" i="4"/>
  <c r="L11" i="4"/>
  <c r="I11" i="4"/>
  <c r="G11" i="4"/>
  <c r="D11" i="4"/>
  <c r="K13" i="2"/>
  <c r="N35" i="3"/>
  <c r="N31" i="3"/>
  <c r="N27" i="3"/>
  <c r="N23" i="3"/>
  <c r="N19" i="3"/>
  <c r="N15" i="3"/>
  <c r="N11" i="3"/>
  <c r="G11" i="3"/>
  <c r="L11" i="3"/>
  <c r="L15" i="3"/>
  <c r="L19" i="3"/>
  <c r="L23" i="3"/>
  <c r="L27" i="3"/>
  <c r="L31" i="3"/>
  <c r="L35" i="3"/>
  <c r="I35" i="3"/>
  <c r="I31" i="3"/>
  <c r="I27" i="3"/>
  <c r="I23" i="3"/>
  <c r="I19" i="3"/>
  <c r="I15" i="3"/>
  <c r="I11" i="3"/>
  <c r="G35" i="3"/>
  <c r="G31" i="3"/>
  <c r="G27" i="3"/>
  <c r="G23" i="3"/>
  <c r="G19" i="3"/>
  <c r="G15" i="3"/>
  <c r="P35" i="3"/>
  <c r="P31" i="3"/>
  <c r="P27" i="3"/>
  <c r="P23" i="3"/>
  <c r="P19" i="3"/>
  <c r="P15" i="3"/>
  <c r="P11" i="3"/>
  <c r="D11" i="3"/>
  <c r="E15" i="3"/>
  <c r="E19" i="3"/>
  <c r="E23" i="3"/>
  <c r="E27" i="3"/>
  <c r="E31" i="3"/>
  <c r="E35" i="3"/>
  <c r="J25" i="2"/>
  <c r="J23" i="2"/>
  <c r="E20" i="2"/>
  <c r="C21" i="2"/>
  <c r="C20" i="2"/>
  <c r="N3" i="1"/>
  <c r="C42" i="2"/>
  <c r="C43" i="2"/>
  <c r="C36" i="2"/>
  <c r="C37" i="2"/>
  <c r="C30" i="2"/>
  <c r="C31" i="2"/>
  <c r="M41" i="2"/>
  <c r="M43" i="2"/>
  <c r="M42" i="2"/>
  <c r="J42" i="2"/>
  <c r="M31" i="2"/>
  <c r="M29" i="2"/>
  <c r="M36" i="2"/>
  <c r="J36" i="2"/>
  <c r="M37" i="2"/>
  <c r="M35" i="2"/>
  <c r="G34" i="3"/>
</calcChain>
</file>

<file path=xl/sharedStrings.xml><?xml version="1.0" encoding="utf-8"?>
<sst xmlns="http://schemas.openxmlformats.org/spreadsheetml/2006/main" count="511" uniqueCount="114">
  <si>
    <t>DEPTO</t>
  </si>
  <si>
    <t>MODELO</t>
  </si>
  <si>
    <t>TIPO</t>
  </si>
  <si>
    <t>VISTA</t>
  </si>
  <si>
    <t>REVOLUCIÓN</t>
  </si>
  <si>
    <t>2R</t>
  </si>
  <si>
    <t>CEBRA</t>
  </si>
  <si>
    <t>1R</t>
  </si>
  <si>
    <t>REVOLUCIÓN PLUS</t>
  </si>
  <si>
    <t>CAJONES</t>
  </si>
  <si>
    <t>M2 INT</t>
  </si>
  <si>
    <t>M2 EXT</t>
  </si>
  <si>
    <t>M2 TOTAL</t>
  </si>
  <si>
    <t>SD - REVOLUCIÓN</t>
  </si>
  <si>
    <t>INDEPENDENCIA - RÍO</t>
  </si>
  <si>
    <t>PRECIO</t>
  </si>
  <si>
    <t>$/M2</t>
  </si>
  <si>
    <t>DISPONIBILIDAD</t>
  </si>
  <si>
    <t>DISPONIBLE</t>
  </si>
  <si>
    <t>DEPARTAMENTO</t>
  </si>
  <si>
    <t>M2 INTERIOR</t>
  </si>
  <si>
    <t>M2 EXTERIOR</t>
  </si>
  <si>
    <t>PRECIO DE LISTA</t>
  </si>
  <si>
    <t>USD</t>
  </si>
  <si>
    <t>ESTATUS</t>
  </si>
  <si>
    <t>ASIGNADOS</t>
  </si>
  <si>
    <t>MONTO APARTADO</t>
  </si>
  <si>
    <t>PROPUESTA COMERCIAL #1</t>
  </si>
  <si>
    <t>CONTADO</t>
  </si>
  <si>
    <t>PAGOS MENSUALES</t>
  </si>
  <si>
    <t>TOTAL</t>
  </si>
  <si>
    <t xml:space="preserve">DESCUENTO </t>
  </si>
  <si>
    <t>ENGANCHE</t>
  </si>
  <si>
    <t>N/A</t>
  </si>
  <si>
    <t>MONTO DE DESCUENTO</t>
  </si>
  <si>
    <t xml:space="preserve">MENSUALIDADES </t>
  </si>
  <si>
    <t>PRECIO FINAL C/DESC</t>
  </si>
  <si>
    <t>PAGO FINAL</t>
  </si>
  <si>
    <t>PROPUESTA GENERAL CÉNTRICO BY FRASA</t>
  </si>
  <si>
    <t>PROPUESTA COMERCIAL #2</t>
  </si>
  <si>
    <t>SEMI CONTADO</t>
  </si>
  <si>
    <t>PROPUESTA COMERCIAL #3</t>
  </si>
  <si>
    <t>TRADICIONAL</t>
  </si>
  <si>
    <t>LOS VALORES ANTERIORES SON EN DÓLARES, MERAMENTE INFORMATIVOS, POR LO QUE ESTE DOCUMENTO NO CONSTITUYE PREAPROBACIÓN Y POR LO TANTO NO COMPROMETE AL DESARROLLADOR
MONTOS, PORCENTAJES Y PRECIOS EN LA PRESENTE COTIZACIÓN PUEDEN CAMBIAR SIN PREVIO AVISO 
EL MONTO TOTAL DE ENGANCHE INCLUYE LA DEDUCCIÓN DEL MONTO DE APARTADO
LA PRESENTE COTIZACIÓN TIENE UNA VIGENCIA DE 2 DÍAS NATURALES A PARTIR DE LA FECHA DE EMISIÓN
PARA CONGELAR EL PRECIO DE VENTA ES NECESARIO REALIZAR SU APARTADO DE $3,000.00 USD, TENDRÁ 10 DÍAS PARA FORMALIZAR Y NO PERDER LA UBICACIÓN</t>
  </si>
  <si>
    <t>REQUISITOS:</t>
  </si>
  <si>
    <t>CUENTA PARA DEPOSITOS:</t>
  </si>
  <si>
    <t>1. Identificación oficial (INE o Pasaporte)
2. Constancia de situación fiscal  (RFC/CIF)
3. CURP
4. Comprobante de domicilio (no mayor a 3 meses)
5. Estado de cuenta de donde saldrán los depositos</t>
  </si>
  <si>
    <r>
      <rPr>
        <b/>
        <u/>
        <sz val="10"/>
        <color theme="1"/>
        <rFont val="Helvetica"/>
        <family val="2"/>
      </rPr>
      <t>BANREGIO PESOS</t>
    </r>
    <r>
      <rPr>
        <sz val="10"/>
        <color theme="1"/>
        <rFont val="Helvetica"/>
        <family val="2"/>
      </rPr>
      <t xml:space="preserve">
</t>
    </r>
    <r>
      <rPr>
        <b/>
        <sz val="10"/>
        <color theme="1"/>
        <rFont val="Helvetica"/>
        <family val="2"/>
      </rPr>
      <t xml:space="preserve">CUENTA: </t>
    </r>
    <r>
      <rPr>
        <sz val="10"/>
        <color theme="1"/>
        <rFont val="Helvetica"/>
        <family val="2"/>
      </rPr>
      <t xml:space="preserve">090-86719-007-3	</t>
    </r>
    <r>
      <rPr>
        <b/>
        <sz val="10"/>
        <color theme="1"/>
        <rFont val="Helvetica"/>
        <family val="2"/>
      </rPr>
      <t xml:space="preserve">CLABE: </t>
    </r>
    <r>
      <rPr>
        <sz val="10"/>
        <color theme="1"/>
        <rFont val="Helvetica"/>
        <family val="2"/>
      </rPr>
      <t xml:space="preserve">058028908671900733
</t>
    </r>
    <r>
      <rPr>
        <b/>
        <u/>
        <sz val="10"/>
        <color theme="1"/>
        <rFont val="Helvetica"/>
        <family val="2"/>
      </rPr>
      <t>BANREGIO DOLARES</t>
    </r>
    <r>
      <rPr>
        <sz val="10"/>
        <color theme="1"/>
        <rFont val="Helvetica"/>
        <family val="2"/>
      </rPr>
      <t xml:space="preserve">
</t>
    </r>
    <r>
      <rPr>
        <b/>
        <sz val="10"/>
        <color theme="1"/>
        <rFont val="Helvetica"/>
        <family val="2"/>
      </rPr>
      <t xml:space="preserve">CUENTA: </t>
    </r>
    <r>
      <rPr>
        <sz val="10"/>
        <color theme="1"/>
        <rFont val="Helvetica"/>
        <family val="2"/>
      </rPr>
      <t xml:space="preserve">090-86719-008-1	</t>
    </r>
    <r>
      <rPr>
        <b/>
        <sz val="10"/>
        <color theme="1"/>
        <rFont val="Helvetica"/>
        <family val="2"/>
      </rPr>
      <t xml:space="preserve">CLABE: </t>
    </r>
    <r>
      <rPr>
        <sz val="10"/>
        <color theme="1"/>
        <rFont val="Helvetica"/>
        <family val="2"/>
      </rPr>
      <t xml:space="preserve">058028908671900814
</t>
    </r>
    <r>
      <rPr>
        <b/>
        <u/>
        <sz val="10"/>
        <color theme="1"/>
        <rFont val="Helvetica"/>
        <family val="2"/>
      </rPr>
      <t>PARA RECIBIR TRANSFERENCIAS DESDE EL EXTRANJERO:</t>
    </r>
    <r>
      <rPr>
        <sz val="10"/>
        <color theme="1"/>
        <rFont val="Helvetica"/>
        <family val="2"/>
      </rPr>
      <t xml:space="preserve">
</t>
    </r>
    <r>
      <rPr>
        <b/>
        <sz val="10"/>
        <color theme="1"/>
        <rFont val="Helvetica"/>
        <family val="2"/>
      </rPr>
      <t xml:space="preserve">	1. BANCO INTERMEDIARIO:</t>
    </r>
    <r>
      <rPr>
        <sz val="10"/>
        <color theme="1"/>
        <rFont val="Helvetica"/>
        <family val="2"/>
      </rPr>
      <t xml:space="preserve"> STANDARD CHARTERED BANK
       </t>
    </r>
    <r>
      <rPr>
        <b/>
        <sz val="10"/>
        <color theme="1"/>
        <rFont val="Helvetica"/>
        <family val="2"/>
      </rPr>
      <t xml:space="preserve">         PLAZA:</t>
    </r>
    <r>
      <rPr>
        <sz val="10"/>
        <color theme="1"/>
        <rFont val="Helvetica"/>
        <family val="2"/>
      </rPr>
      <t xml:space="preserve"> New York, N.Y.
              </t>
    </r>
    <r>
      <rPr>
        <b/>
        <sz val="10"/>
        <color theme="1"/>
        <rFont val="Helvetica"/>
        <family val="2"/>
      </rPr>
      <t xml:space="preserve">  SWIFT/BIC CODE: </t>
    </r>
    <r>
      <rPr>
        <sz val="10"/>
        <color theme="1"/>
        <rFont val="Helvetica"/>
        <family val="2"/>
      </rPr>
      <t xml:space="preserve">SCBLUS33
</t>
    </r>
    <r>
      <rPr>
        <b/>
        <sz val="10"/>
        <color theme="1"/>
        <rFont val="Helvetica"/>
        <family val="2"/>
      </rPr>
      <t xml:space="preserve">	2. BANCO BENEFICIARIO: </t>
    </r>
    <r>
      <rPr>
        <sz val="10"/>
        <color theme="1"/>
        <rFont val="Helvetica"/>
        <family val="2"/>
      </rPr>
      <t xml:space="preserve">Banco Regional, S.A.
     </t>
    </r>
    <r>
      <rPr>
        <b/>
        <sz val="10"/>
        <color theme="1"/>
        <rFont val="Helvetica"/>
        <family val="2"/>
      </rPr>
      <t xml:space="preserve">           SWIFT/BIC CODE: </t>
    </r>
    <r>
      <rPr>
        <sz val="10"/>
        <color theme="1"/>
        <rFont val="Helvetica"/>
        <family val="2"/>
      </rPr>
      <t xml:space="preserve">RGIOMXMT
	3. </t>
    </r>
    <r>
      <rPr>
        <b/>
        <sz val="10"/>
        <color theme="1"/>
        <rFont val="Helvetica"/>
        <family val="2"/>
      </rPr>
      <t xml:space="preserve">BENEFICIARIO FINAL: </t>
    </r>
    <r>
      <rPr>
        <sz val="10"/>
        <color theme="1"/>
        <rFont val="Helvetica"/>
        <family val="2"/>
      </rPr>
      <t xml:space="preserve">FRASA DESARROLLOS, S.A.P.I. DE C.V.
             </t>
    </r>
    <r>
      <rPr>
        <b/>
        <sz val="10"/>
        <color theme="1"/>
        <rFont val="Helvetica"/>
        <family val="2"/>
      </rPr>
      <t xml:space="preserve">   CUENTA DEL BENEFICIARIO 
(CLABE 18 DÍGITOS): </t>
    </r>
    <r>
      <rPr>
        <sz val="10"/>
        <color theme="1"/>
        <rFont val="Helvetica"/>
        <family val="2"/>
      </rPr>
      <t>058028908671900814</t>
    </r>
  </si>
  <si>
    <t>CLIENTE</t>
  </si>
  <si>
    <t>TIPO CAJON</t>
  </si>
  <si>
    <t>BODEGA</t>
  </si>
  <si>
    <t>REGULAR</t>
  </si>
  <si>
    <t>COMPACTO</t>
  </si>
  <si>
    <t>NIVEL</t>
  </si>
  <si>
    <t xml:space="preserve"> ESCALERAS Y ELEVADORES</t>
  </si>
  <si>
    <t>REVOLUCIÓN - SAN DIEGO</t>
  </si>
  <si>
    <t>FACHADA PRINCIPAL</t>
  </si>
  <si>
    <t>ASESOR</t>
  </si>
  <si>
    <t>CTE</t>
  </si>
  <si>
    <t>HERIBERTO DURAN CLADERON</t>
  </si>
  <si>
    <t>NOMBRE</t>
  </si>
  <si>
    <t>METODO</t>
  </si>
  <si>
    <t>CRÉDITO</t>
  </si>
  <si>
    <t>LAURA</t>
  </si>
  <si>
    <t>SANDRA</t>
  </si>
  <si>
    <t>VENDIDO</t>
  </si>
  <si>
    <t>BALDEMAR PAREDES GONZÁLEZ</t>
  </si>
  <si>
    <t>CRISTINA</t>
  </si>
  <si>
    <t>GEOVANI REYNAGA BAÑUELOS</t>
  </si>
  <si>
    <t>CREDITO</t>
  </si>
  <si>
    <t>VICTOR NICOLAS BORBOA FIERRO</t>
  </si>
  <si>
    <t>SEMI TECHADO</t>
  </si>
  <si>
    <t>DESCUBIERTO</t>
  </si>
  <si>
    <t>CARACTERISTICA</t>
  </si>
  <si>
    <t>FLOR Y TULIA MELENDEZ ACOSTA</t>
  </si>
  <si>
    <t>LETICIA</t>
  </si>
  <si>
    <t>EDUARDO ANGEL BORQUEZ ESCALANTE</t>
  </si>
  <si>
    <t>SEMICONTADO</t>
  </si>
  <si>
    <t>JULIO CESAR HERRERA HERNANDEZ</t>
  </si>
  <si>
    <t>EDUARDO ANDRES VALLES CALZADILLAS</t>
  </si>
  <si>
    <t>ANWAR</t>
  </si>
  <si>
    <t>CYNTHIA ELIZABETH HEREDIA RODRÍGUEZ</t>
  </si>
  <si>
    <t>KARLA YARELI NUÑEZ DOMINGUEZ</t>
  </si>
  <si>
    <t>ARTURO DUEÑAS ESPINOZA</t>
  </si>
  <si>
    <t>SAUL CASTILLO CERDA</t>
  </si>
  <si>
    <t>FECHA</t>
  </si>
  <si>
    <t>JOSE ANTONIO JARAMILLO GONZALEZ</t>
  </si>
  <si>
    <t>RICARDO</t>
  </si>
  <si>
    <t>RAFAEL SERVIN LOE</t>
  </si>
  <si>
    <t>LUIS GONZALEZ</t>
  </si>
  <si>
    <t>JOSE LUIS RODRIGUEZ MARTINEZ</t>
  </si>
  <si>
    <t>TEJEDA TOSCANO ISRAEL EUGENIO</t>
  </si>
  <si>
    <t>ALFREDO HUERTA</t>
  </si>
  <si>
    <t>CONCEPCION ADRIANA CERVANTES MARQUEZ</t>
  </si>
  <si>
    <t>SANTIAGO</t>
  </si>
  <si>
    <t>ALMA LUZ RENDON LOPEZ</t>
  </si>
  <si>
    <t>PROPUESTA COMERCIAL ACEPTADA # ________</t>
  </si>
  <si>
    <t xml:space="preserve">BERTHA RITA MARQUEZ CARDENAS </t>
  </si>
  <si>
    <t>MARIA DEL ROSARIO ORTEGA ESTRADA</t>
  </si>
  <si>
    <t>GEOVANNI REYNAGA BAÑUELOS</t>
  </si>
  <si>
    <t>ANNA LUCIA DAVILA SALCEDO</t>
  </si>
  <si>
    <t>JAVIER</t>
  </si>
  <si>
    <t>FRASA</t>
  </si>
  <si>
    <t>JOSE LUIS TORRES VILLAREAL</t>
  </si>
  <si>
    <t>HEBERTO BLANCARTE LOPEZ</t>
  </si>
  <si>
    <t>ISIS ALEJANDRA GOMEZ LOPEZ</t>
  </si>
  <si>
    <t>FECHA VENTA</t>
  </si>
  <si>
    <t>TERRACERIAS Y ASFALTOS SA DE CV</t>
  </si>
  <si>
    <t xml:space="preserve"> XAVIER ALBERTO CARVAJAL GUERRERO</t>
  </si>
  <si>
    <t>OCTAVIO ROMAN GONZALEZ GARCIA</t>
  </si>
  <si>
    <t>ANEXO A</t>
  </si>
  <si>
    <t>FABIO ALBERTO RESTREPO CEBALLOS</t>
  </si>
  <si>
    <t>EDOARDO LEONIDEZ RODRIGUEZ GARCIA</t>
  </si>
  <si>
    <t xml:space="preserve">PROPUESTA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</si>
</sst>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00.00\ &quot;m2&quot;"/>
    <numFmt numFmtId="167" formatCode="_-&quot;$&quot;\ * #,##0.00_-;\-&quot;$&quot;\ * #,##0.00_-;_-&quot;$&quot;\ * &quot;-&quot;??_-;_-@_-"/>
    <numFmt numFmtId="168" formatCode="[$-C0A]d\-mmm\-yy;@"/>
    <numFmt numFmtId="169" formatCode="_-&quot;$&quot;\ * #,##0.00_-;\-&quot;$&quot;\ * #,##0.00_-;_-&quot;$&quot;\ * &quot;-&quot;????_-;_-@_-"/>
    <numFmt numFmtId="170" formatCode="[$-80A]d&quot; de &quot;mmmm&quot; de &quot;yyyy;@"/>
    <numFmt numFmtId="171" formatCode="_-&quot;$&quot;* #,##0_-;\-&quot;$&quot;* #,##0_-;_-&quot;$&quot;* &quot;-&quot;??_-;_-@_-"/>
    <numFmt numFmtId="172" formatCode="dd/mmm/yyyy"/>
  </numFmts>
  <fonts count="3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rgb="FFFFFF00"/>
      <name val="Arial"/>
      <family val="2"/>
    </font>
    <font>
      <sz val="9"/>
      <color theme="1"/>
      <name val="Arial"/>
      <family val="2"/>
    </font>
    <font>
      <sz val="12"/>
      <color theme="1"/>
      <name val="Helvetica"/>
      <family val="2"/>
    </font>
    <font>
      <b/>
      <sz val="12"/>
      <name val="Helvetica"/>
      <family val="2"/>
    </font>
    <font>
      <b/>
      <sz val="11"/>
      <color theme="0"/>
      <name val="Helvetica"/>
      <family val="2"/>
    </font>
    <font>
      <sz val="10"/>
      <color theme="0"/>
      <name val="Helvetica"/>
      <family val="2"/>
    </font>
    <font>
      <sz val="10"/>
      <color theme="1"/>
      <name val="Helvetica"/>
      <family val="2"/>
    </font>
    <font>
      <b/>
      <sz val="10"/>
      <color theme="0"/>
      <name val="Helvetica"/>
      <family val="2"/>
    </font>
    <font>
      <b/>
      <sz val="10"/>
      <color theme="1"/>
      <name val="Helvetica"/>
      <family val="2"/>
    </font>
    <font>
      <sz val="11"/>
      <color theme="0"/>
      <name val="Helvetica"/>
      <family val="2"/>
    </font>
    <font>
      <b/>
      <sz val="9"/>
      <color theme="1"/>
      <name val="Helvetica"/>
      <family val="2"/>
    </font>
    <font>
      <b/>
      <sz val="12"/>
      <color theme="1"/>
      <name val="Helvetica"/>
      <family val="2"/>
    </font>
    <font>
      <b/>
      <sz val="9"/>
      <name val="Helvetica"/>
      <family val="2"/>
    </font>
    <font>
      <b/>
      <sz val="6"/>
      <name val="Helvetica"/>
      <family val="2"/>
    </font>
    <font>
      <b/>
      <sz val="10"/>
      <name val="Helvetica"/>
      <family val="2"/>
    </font>
    <font>
      <sz val="10"/>
      <name val="Helvetica"/>
      <family val="2"/>
    </font>
    <font>
      <b/>
      <u/>
      <sz val="10"/>
      <color theme="1"/>
      <name val="Helvetica"/>
      <family val="2"/>
    </font>
    <font>
      <b/>
      <sz val="12"/>
      <color rgb="FFD4B475"/>
      <name val="Helvetica"/>
      <family val="2"/>
    </font>
    <font>
      <b/>
      <sz val="7"/>
      <color theme="1"/>
      <name val="Helvetica"/>
      <family val="2"/>
    </font>
    <font>
      <sz val="12"/>
      <color rgb="FF000000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theme="1"/>
      <name val="Avenir Next Regular"/>
    </font>
    <font>
      <sz val="9"/>
      <name val="Avenir Next Regular"/>
    </font>
    <font>
      <b/>
      <sz val="12"/>
      <color theme="1"/>
      <name val="Helvetica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theme="0" tint="-0.49998474074526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theme="0" tint="-0.49998474074526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6" fillId="0" borderId="0" xfId="2" applyFont="1" applyAlignment="1" applyProtection="1">
      <alignment horizontal="center" vertical="center"/>
      <protection locked="0"/>
    </xf>
    <xf numFmtId="0" fontId="7" fillId="0" borderId="0" xfId="0" applyFont="1"/>
    <xf numFmtId="0" fontId="8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6" fillId="0" borderId="0" xfId="0" applyFont="1"/>
    <xf numFmtId="167" fontId="11" fillId="0" borderId="0" xfId="4" applyFont="1" applyAlignment="1" applyProtection="1">
      <alignment horizontal="center" vertical="center"/>
    </xf>
    <xf numFmtId="168" fontId="17" fillId="0" borderId="0" xfId="0" applyNumberFormat="1" applyFont="1" applyAlignment="1">
      <alignment horizontal="left" vertical="center" wrapText="1"/>
    </xf>
    <xf numFmtId="168" fontId="18" fillId="0" borderId="0" xfId="0" applyNumberFormat="1" applyFont="1" applyAlignment="1">
      <alignment vertical="center"/>
    </xf>
    <xf numFmtId="168" fontId="19" fillId="0" borderId="0" xfId="0" applyNumberFormat="1" applyFont="1" applyAlignment="1">
      <alignment vertical="center"/>
    </xf>
    <xf numFmtId="0" fontId="11" fillId="0" borderId="0" xfId="0" applyFont="1"/>
    <xf numFmtId="168" fontId="19" fillId="0" borderId="0" xfId="0" applyNumberFormat="1" applyFont="1" applyAlignment="1">
      <alignment horizontal="right" vertical="center"/>
    </xf>
    <xf numFmtId="0" fontId="22" fillId="0" borderId="0" xfId="0" applyFont="1"/>
    <xf numFmtId="0" fontId="7" fillId="0" borderId="10" xfId="0" applyFont="1" applyBorder="1"/>
    <xf numFmtId="0" fontId="11" fillId="0" borderId="3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1" fontId="0" fillId="9" borderId="17" xfId="1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164" fontId="0" fillId="8" borderId="20" xfId="1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1" fontId="0" fillId="7" borderId="28" xfId="1" applyNumberFormat="1" applyFont="1" applyFill="1" applyBorder="1" applyAlignment="1">
      <alignment horizontal="center"/>
    </xf>
    <xf numFmtId="164" fontId="0" fillId="0" borderId="18" xfId="1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1" fontId="0" fillId="0" borderId="18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1" applyNumberFormat="1" applyFont="1" applyFill="1" applyBorder="1" applyAlignment="1">
      <alignment horizontal="center"/>
    </xf>
    <xf numFmtId="164" fontId="0" fillId="0" borderId="0" xfId="1" applyFont="1" applyFill="1" applyBorder="1" applyAlignment="1">
      <alignment horizontal="center"/>
    </xf>
    <xf numFmtId="164" fontId="0" fillId="10" borderId="28" xfId="1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5" fillId="2" borderId="0" xfId="0" applyNumberFormat="1" applyFont="1" applyFill="1" applyAlignment="1">
      <alignment horizontal="center" vertical="center" wrapText="1"/>
    </xf>
    <xf numFmtId="2" fontId="6" fillId="0" borderId="0" xfId="0" applyNumberFormat="1" applyFont="1"/>
    <xf numFmtId="171" fontId="6" fillId="0" borderId="0" xfId="1" applyNumberFormat="1" applyFont="1" applyAlignment="1">
      <alignment horizontal="center"/>
    </xf>
    <xf numFmtId="171" fontId="5" fillId="2" borderId="0" xfId="1" applyNumberFormat="1" applyFont="1" applyFill="1" applyAlignment="1">
      <alignment horizontal="center" vertical="center" wrapText="1"/>
    </xf>
    <xf numFmtId="171" fontId="6" fillId="0" borderId="0" xfId="1" applyNumberFormat="1" applyFont="1"/>
    <xf numFmtId="0" fontId="23" fillId="0" borderId="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64" fontId="11" fillId="0" borderId="41" xfId="1" applyFont="1" applyFill="1" applyBorder="1" applyAlignment="1">
      <alignment horizontal="center"/>
    </xf>
    <xf numFmtId="164" fontId="11" fillId="0" borderId="49" xfId="1" applyFont="1" applyFill="1" applyBorder="1" applyAlignment="1">
      <alignment horizontal="center"/>
    </xf>
    <xf numFmtId="164" fontId="11" fillId="0" borderId="0" xfId="1" applyFont="1" applyFill="1" applyBorder="1" applyAlignment="1">
      <alignment horizontal="center"/>
    </xf>
    <xf numFmtId="1" fontId="11" fillId="0" borderId="19" xfId="1" applyNumberFormat="1" applyFont="1" applyBorder="1" applyAlignment="1">
      <alignment horizontal="center" vertical="center"/>
    </xf>
    <xf numFmtId="1" fontId="0" fillId="9" borderId="51" xfId="1" applyNumberFormat="1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164" fontId="11" fillId="0" borderId="18" xfId="1" applyFont="1" applyBorder="1" applyAlignment="1">
      <alignment horizontal="center" vertical="center"/>
    </xf>
    <xf numFmtId="164" fontId="0" fillId="8" borderId="45" xfId="1" applyFont="1" applyFill="1" applyBorder="1" applyAlignment="1">
      <alignment horizontal="center"/>
    </xf>
    <xf numFmtId="0" fontId="0" fillId="0" borderId="0" xfId="0" applyAlignment="1">
      <alignment horizontal="right" indent="1"/>
    </xf>
    <xf numFmtId="0" fontId="6" fillId="11" borderId="0" xfId="2" applyFont="1" applyFill="1" applyAlignment="1" applyProtection="1">
      <alignment horizontal="center" vertical="center"/>
      <protection locked="0"/>
    </xf>
    <xf numFmtId="0" fontId="6" fillId="11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10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3" borderId="0" xfId="0" applyFont="1" applyFill="1"/>
    <xf numFmtId="0" fontId="8" fillId="3" borderId="0" xfId="0" applyFont="1" applyFill="1" applyAlignment="1">
      <alignment horizontal="right"/>
    </xf>
    <xf numFmtId="0" fontId="11" fillId="3" borderId="0" xfId="0" applyFont="1" applyFill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0" fontId="0" fillId="3" borderId="0" xfId="0" applyFill="1"/>
    <xf numFmtId="0" fontId="23" fillId="3" borderId="3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6" fillId="3" borderId="0" xfId="0" applyFont="1" applyFill="1"/>
    <xf numFmtId="0" fontId="11" fillId="3" borderId="0" xfId="0" applyFont="1" applyFill="1" applyAlignment="1">
      <alignment horizontal="center" vertical="center"/>
    </xf>
    <xf numFmtId="167" fontId="11" fillId="3" borderId="0" xfId="4" applyFont="1" applyFill="1" applyAlignment="1" applyProtection="1">
      <alignment horizontal="center" vertical="center"/>
    </xf>
    <xf numFmtId="168" fontId="17" fillId="3" borderId="0" xfId="0" applyNumberFormat="1" applyFont="1" applyFill="1" applyAlignment="1">
      <alignment horizontal="left" vertical="center" wrapText="1"/>
    </xf>
    <xf numFmtId="168" fontId="18" fillId="3" borderId="0" xfId="0" applyNumberFormat="1" applyFont="1" applyFill="1" applyAlignment="1">
      <alignment vertical="center"/>
    </xf>
    <xf numFmtId="168" fontId="19" fillId="3" borderId="0" xfId="0" applyNumberFormat="1" applyFont="1" applyFill="1" applyAlignment="1">
      <alignment vertical="center"/>
    </xf>
    <xf numFmtId="0" fontId="11" fillId="3" borderId="0" xfId="0" applyFont="1" applyFill="1"/>
    <xf numFmtId="168" fontId="19" fillId="3" borderId="0" xfId="0" applyNumberFormat="1" applyFont="1" applyFill="1" applyAlignment="1">
      <alignment horizontal="right" vertical="center"/>
    </xf>
    <xf numFmtId="0" fontId="22" fillId="3" borderId="0" xfId="0" applyFont="1" applyFill="1"/>
    <xf numFmtId="0" fontId="7" fillId="3" borderId="10" xfId="0" applyFont="1" applyFill="1" applyBorder="1"/>
    <xf numFmtId="165" fontId="27" fillId="0" borderId="0" xfId="6" applyFont="1"/>
    <xf numFmtId="164" fontId="6" fillId="0" borderId="0" xfId="1" applyNumberFormat="1" applyFont="1"/>
    <xf numFmtId="165" fontId="6" fillId="0" borderId="0" xfId="6" applyFont="1" applyAlignment="1">
      <alignment horizontal="center"/>
    </xf>
    <xf numFmtId="17" fontId="6" fillId="0" borderId="0" xfId="0" applyNumberFormat="1" applyFont="1" applyAlignment="1">
      <alignment horizontal="center"/>
    </xf>
    <xf numFmtId="14" fontId="6" fillId="0" borderId="0" xfId="0" applyNumberFormat="1" applyFont="1" applyFill="1"/>
    <xf numFmtId="0" fontId="26" fillId="0" borderId="0" xfId="0" applyFont="1" applyFill="1" applyAlignment="1">
      <alignment horizontal="center"/>
    </xf>
    <xf numFmtId="14" fontId="26" fillId="0" borderId="0" xfId="0" applyNumberFormat="1" applyFont="1" applyFill="1"/>
    <xf numFmtId="164" fontId="6" fillId="0" borderId="0" xfId="1" applyFont="1" applyFill="1"/>
    <xf numFmtId="0" fontId="28" fillId="12" borderId="0" xfId="0" applyFont="1" applyFill="1" applyAlignment="1">
      <alignment horizontal="center" vertical="center" wrapText="1"/>
    </xf>
    <xf numFmtId="10" fontId="6" fillId="0" borderId="0" xfId="7" applyNumberFormat="1" applyFont="1"/>
    <xf numFmtId="2" fontId="6" fillId="0" borderId="0" xfId="0" applyNumberFormat="1" applyFont="1" applyFill="1" applyAlignment="1">
      <alignment horizontal="center"/>
    </xf>
    <xf numFmtId="172" fontId="29" fillId="0" borderId="0" xfId="0" applyNumberFormat="1" applyFont="1" applyAlignment="1">
      <alignment horizontal="center"/>
    </xf>
    <xf numFmtId="172" fontId="30" fillId="0" borderId="0" xfId="0" applyNumberFormat="1" applyFont="1" applyAlignment="1">
      <alignment horizontal="center"/>
    </xf>
    <xf numFmtId="0" fontId="31" fillId="3" borderId="0" xfId="0" applyFont="1" applyFill="1"/>
    <xf numFmtId="164" fontId="6" fillId="0" borderId="0" xfId="0" applyNumberFormat="1" applyFont="1" applyFill="1"/>
    <xf numFmtId="0" fontId="6" fillId="0" borderId="0" xfId="2" applyFont="1" applyFill="1" applyAlignment="1" applyProtection="1">
      <alignment horizontal="center" vertical="center"/>
      <protection locked="0"/>
    </xf>
    <xf numFmtId="172" fontId="29" fillId="0" borderId="0" xfId="0" applyNumberFormat="1" applyFont="1" applyFill="1" applyAlignment="1">
      <alignment horizontal="center"/>
    </xf>
    <xf numFmtId="164" fontId="6" fillId="0" borderId="10" xfId="1" applyFont="1" applyFill="1" applyBorder="1"/>
    <xf numFmtId="169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7" fontId="11" fillId="0" borderId="2" xfId="4" applyFont="1" applyBorder="1" applyAlignment="1" applyProtection="1">
      <alignment horizontal="center" vertical="center"/>
    </xf>
    <xf numFmtId="0" fontId="15" fillId="0" borderId="0" xfId="0" applyFont="1" applyAlignment="1">
      <alignment horizontal="center"/>
    </xf>
    <xf numFmtId="0" fontId="15" fillId="0" borderId="8" xfId="0" applyFont="1" applyBorder="1" applyAlignment="1">
      <alignment horizontal="center"/>
    </xf>
    <xf numFmtId="167" fontId="11" fillId="0" borderId="9" xfId="0" applyNumberFormat="1" applyFont="1" applyBorder="1" applyAlignment="1">
      <alignment horizontal="center" vertical="center"/>
    </xf>
    <xf numFmtId="9" fontId="13" fillId="0" borderId="2" xfId="0" applyNumberFormat="1" applyFont="1" applyBorder="1" applyAlignment="1" applyProtection="1">
      <alignment horizontal="center" vertical="center"/>
      <protection locked="0"/>
    </xf>
    <xf numFmtId="167" fontId="11" fillId="0" borderId="3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8" fontId="17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right" vertical="top" wrapText="1"/>
    </xf>
    <xf numFmtId="0" fontId="16" fillId="0" borderId="11" xfId="0" applyFont="1" applyBorder="1" applyAlignment="1">
      <alignment horizont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167" fontId="11" fillId="0" borderId="3" xfId="4" applyFont="1" applyBorder="1" applyAlignment="1" applyProtection="1">
      <alignment horizontal="center" vertical="center"/>
    </xf>
    <xf numFmtId="9" fontId="13" fillId="0" borderId="2" xfId="0" applyNumberFormat="1" applyFont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167" fontId="11" fillId="0" borderId="4" xfId="4" applyFont="1" applyBorder="1" applyAlignment="1" applyProtection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64" fontId="11" fillId="0" borderId="3" xfId="1" applyFont="1" applyBorder="1" applyAlignment="1">
      <alignment horizontal="center" vertical="center"/>
    </xf>
    <xf numFmtId="167" fontId="13" fillId="0" borderId="2" xfId="4" applyFont="1" applyBorder="1" applyAlignment="1" applyProtection="1">
      <alignment horizontal="center" vertic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170" fontId="7" fillId="0" borderId="0" xfId="0" applyNumberFormat="1" applyFont="1" applyAlignment="1">
      <alignment horizontal="center"/>
    </xf>
    <xf numFmtId="168" fontId="20" fillId="0" borderId="0" xfId="0" applyNumberFormat="1" applyFont="1" applyAlignment="1">
      <alignment horizontal="left" vertical="top" wrapText="1"/>
    </xf>
    <xf numFmtId="0" fontId="9" fillId="2" borderId="0" xfId="0" applyFont="1" applyFill="1" applyAlignment="1">
      <alignment horizontal="center" vertical="center"/>
    </xf>
    <xf numFmtId="0" fontId="13" fillId="0" borderId="2" xfId="0" applyFont="1" applyBorder="1" applyAlignment="1" applyProtection="1">
      <alignment horizontal="center" vertical="center"/>
      <protection locked="0"/>
    </xf>
    <xf numFmtId="166" fontId="11" fillId="0" borderId="3" xfId="3" applyNumberFormat="1" applyFont="1" applyBorder="1" applyAlignment="1" applyProtection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8" fontId="17" fillId="3" borderId="0" xfId="0" applyNumberFormat="1" applyFont="1" applyFill="1" applyAlignment="1">
      <alignment horizontal="left" vertical="center" wrapText="1"/>
    </xf>
    <xf numFmtId="168" fontId="20" fillId="3" borderId="0" xfId="0" applyNumberFormat="1" applyFont="1" applyFill="1" applyAlignment="1">
      <alignment horizontal="left" vertical="top" wrapText="1"/>
    </xf>
    <xf numFmtId="0" fontId="11" fillId="3" borderId="0" xfId="0" applyFont="1" applyFill="1" applyAlignment="1">
      <alignment horizontal="right" vertical="top" wrapText="1"/>
    </xf>
    <xf numFmtId="0" fontId="16" fillId="3" borderId="11" xfId="0" applyFont="1" applyFill="1" applyBorder="1" applyAlignment="1">
      <alignment horizontal="center"/>
    </xf>
    <xf numFmtId="167" fontId="11" fillId="3" borderId="3" xfId="4" applyFont="1" applyFill="1" applyBorder="1" applyAlignment="1" applyProtection="1">
      <alignment horizontal="center" vertical="center"/>
    </xf>
    <xf numFmtId="9" fontId="13" fillId="3" borderId="2" xfId="0" applyNumberFormat="1" applyFont="1" applyFill="1" applyBorder="1" applyAlignment="1">
      <alignment horizontal="center" vertical="center"/>
    </xf>
    <xf numFmtId="167" fontId="11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7" fontId="11" fillId="3" borderId="3" xfId="0" applyNumberFormat="1" applyFont="1" applyFill="1" applyBorder="1" applyAlignment="1">
      <alignment horizontal="center" vertical="center"/>
    </xf>
    <xf numFmtId="169" fontId="11" fillId="3" borderId="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5" fillId="3" borderId="8" xfId="0" applyFont="1" applyFill="1" applyBorder="1" applyAlignment="1">
      <alignment horizontal="center"/>
    </xf>
    <xf numFmtId="9" fontId="13" fillId="3" borderId="2" xfId="0" applyNumberFormat="1" applyFont="1" applyFill="1" applyBorder="1" applyAlignment="1" applyProtection="1">
      <alignment horizontal="center" vertical="center"/>
      <protection locked="0"/>
    </xf>
    <xf numFmtId="167" fontId="11" fillId="3" borderId="9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167" fontId="11" fillId="3" borderId="2" xfId="4" applyFont="1" applyFill="1" applyBorder="1" applyAlignment="1" applyProtection="1">
      <alignment horizontal="center" vertical="center"/>
    </xf>
    <xf numFmtId="0" fontId="23" fillId="3" borderId="12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167" fontId="13" fillId="3" borderId="2" xfId="4" applyFont="1" applyFill="1" applyBorder="1" applyAlignment="1" applyProtection="1">
      <alignment horizontal="center" vertic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166" fontId="11" fillId="3" borderId="3" xfId="3" applyNumberFormat="1" applyFont="1" applyFill="1" applyBorder="1" applyAlignment="1" applyProtection="1">
      <alignment horizontal="center" vertical="center"/>
    </xf>
    <xf numFmtId="167" fontId="11" fillId="3" borderId="4" xfId="4" applyFont="1" applyFill="1" applyBorder="1" applyAlignment="1" applyProtection="1">
      <alignment horizontal="center" vertical="center"/>
    </xf>
    <xf numFmtId="164" fontId="11" fillId="3" borderId="3" xfId="1" applyFont="1" applyFill="1" applyBorder="1" applyAlignment="1">
      <alignment horizontal="center" vertical="center"/>
    </xf>
    <xf numFmtId="170" fontId="7" fillId="3" borderId="0" xfId="0" applyNumberFormat="1" applyFont="1" applyFill="1" applyAlignment="1">
      <alignment horizontal="center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164" fontId="0" fillId="0" borderId="21" xfId="1" applyFont="1" applyFill="1" applyBorder="1" applyAlignment="1">
      <alignment horizontal="center"/>
    </xf>
    <xf numFmtId="164" fontId="0" fillId="0" borderId="23" xfId="1" applyFont="1" applyFill="1" applyBorder="1" applyAlignment="1">
      <alignment horizontal="center"/>
    </xf>
    <xf numFmtId="164" fontId="0" fillId="0" borderId="22" xfId="1" applyFont="1" applyFill="1" applyBorder="1" applyAlignment="1">
      <alignment horizontal="center"/>
    </xf>
    <xf numFmtId="164" fontId="11" fillId="0" borderId="38" xfId="1" applyFont="1" applyBorder="1" applyAlignment="1">
      <alignment horizontal="center" vertical="center"/>
    </xf>
    <xf numFmtId="164" fontId="11" fillId="0" borderId="40" xfId="1" applyFont="1" applyBorder="1" applyAlignment="1">
      <alignment horizontal="center" vertical="center"/>
    </xf>
    <xf numFmtId="164" fontId="11" fillId="0" borderId="39" xfId="1" applyFont="1" applyBorder="1" applyAlignment="1">
      <alignment horizontal="center" vertical="center"/>
    </xf>
    <xf numFmtId="164" fontId="25" fillId="0" borderId="0" xfId="0" applyNumberFormat="1" applyFont="1" applyAlignment="1">
      <alignment horizontal="center" vertical="center" textRotation="90"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2" borderId="31" xfId="0" applyFont="1" applyFill="1" applyBorder="1" applyAlignment="1">
      <alignment horizontal="center" vertical="center" textRotation="90" wrapText="1"/>
    </xf>
    <xf numFmtId="0" fontId="3" fillId="2" borderId="32" xfId="0" applyFont="1" applyFill="1" applyBorder="1" applyAlignment="1">
      <alignment horizontal="center" vertical="center" textRotation="90" wrapText="1"/>
    </xf>
    <xf numFmtId="0" fontId="3" fillId="2" borderId="33" xfId="0" applyFont="1" applyFill="1" applyBorder="1" applyAlignment="1">
      <alignment horizontal="center" vertical="center" textRotation="90" wrapText="1"/>
    </xf>
    <xf numFmtId="1" fontId="0" fillId="7" borderId="24" xfId="1" applyNumberFormat="1" applyFont="1" applyFill="1" applyBorder="1" applyAlignment="1">
      <alignment horizontal="center"/>
    </xf>
    <xf numFmtId="1" fontId="0" fillId="7" borderId="25" xfId="1" applyNumberFormat="1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1" fontId="11" fillId="0" borderId="43" xfId="1" applyNumberFormat="1" applyFont="1" applyBorder="1" applyAlignment="1">
      <alignment horizontal="center" vertical="center"/>
    </xf>
    <xf numFmtId="1" fontId="11" fillId="0" borderId="44" xfId="1" applyNumberFormat="1" applyFont="1" applyBorder="1" applyAlignment="1">
      <alignment horizontal="center" vertical="center"/>
    </xf>
    <xf numFmtId="164" fontId="11" fillId="0" borderId="43" xfId="1" applyFont="1" applyBorder="1" applyAlignment="1">
      <alignment horizontal="center" vertical="center"/>
    </xf>
    <xf numFmtId="164" fontId="11" fillId="0" borderId="44" xfId="1" applyFont="1" applyBorder="1" applyAlignment="1">
      <alignment horizontal="center" vertical="center"/>
    </xf>
    <xf numFmtId="164" fontId="11" fillId="0" borderId="50" xfId="1" applyFont="1" applyBorder="1" applyAlignment="1">
      <alignment horizontal="center" vertical="center"/>
    </xf>
    <xf numFmtId="164" fontId="11" fillId="0" borderId="46" xfId="1" applyFont="1" applyBorder="1" applyAlignment="1">
      <alignment horizontal="center" vertical="center"/>
    </xf>
    <xf numFmtId="164" fontId="11" fillId="0" borderId="47" xfId="1" applyFont="1" applyBorder="1" applyAlignment="1">
      <alignment horizontal="center" vertical="center"/>
    </xf>
    <xf numFmtId="164" fontId="11" fillId="0" borderId="48" xfId="1" applyFont="1" applyBorder="1" applyAlignment="1">
      <alignment horizontal="center" vertical="center"/>
    </xf>
    <xf numFmtId="1" fontId="0" fillId="7" borderId="45" xfId="1" applyNumberFormat="1" applyFont="1" applyFill="1" applyBorder="1" applyAlignment="1">
      <alignment horizontal="center"/>
    </xf>
    <xf numFmtId="1" fontId="0" fillId="7" borderId="51" xfId="1" applyNumberFormat="1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 textRotation="90" wrapText="1"/>
    </xf>
    <xf numFmtId="0" fontId="3" fillId="2" borderId="42" xfId="0" applyFont="1" applyFill="1" applyBorder="1" applyAlignment="1">
      <alignment horizontal="center" vertical="center" textRotation="90" wrapText="1"/>
    </xf>
    <xf numFmtId="164" fontId="11" fillId="0" borderId="18" xfId="1" applyFont="1" applyBorder="1" applyAlignment="1">
      <alignment horizontal="center" vertical="center"/>
    </xf>
    <xf numFmtId="164" fontId="11" fillId="0" borderId="0" xfId="1" applyFont="1" applyBorder="1" applyAlignment="1">
      <alignment horizontal="center" vertical="center"/>
    </xf>
    <xf numFmtId="1" fontId="11" fillId="0" borderId="53" xfId="1" applyNumberFormat="1" applyFont="1" applyBorder="1" applyAlignment="1">
      <alignment horizontal="center" vertical="center"/>
    </xf>
    <xf numFmtId="1" fontId="11" fillId="0" borderId="54" xfId="1" applyNumberFormat="1" applyFont="1" applyBorder="1" applyAlignment="1">
      <alignment horizontal="center" vertical="center"/>
    </xf>
  </cellXfs>
  <cellStyles count="8">
    <cellStyle name="Comma 2 2" xfId="3" xr:uid="{00000000-0005-0000-0000-000000000000}"/>
    <cellStyle name="Currency 2" xfId="4" xr:uid="{00000000-0005-0000-0000-000001000000}"/>
    <cellStyle name="Millares" xfId="6" builtinId="3"/>
    <cellStyle name="Moneda" xfId="1" builtinId="4"/>
    <cellStyle name="Normal" xfId="0" builtinId="0"/>
    <cellStyle name="Normal 10" xfId="2" xr:uid="{00000000-0005-0000-0000-000005000000}"/>
    <cellStyle name="Normal 2" xfId="5" xr:uid="{00000000-0005-0000-0000-000006000000}"/>
    <cellStyle name="Porcentaje" xfId="7" builtinId="5"/>
  </cellStyles>
  <dxfs count="289"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 patternType="solid">
          <bgColor theme="4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 patternType="solid">
          <bgColor theme="4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 patternType="solid">
          <bgColor theme="4" tint="0.59996337778862885"/>
        </patternFill>
      </fill>
    </dxf>
    <dxf>
      <font>
        <color theme="4" tint="-0.499984740745262"/>
      </font>
      <fill>
        <patternFill patternType="solid">
          <bgColor theme="4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 patternType="solid">
          <bgColor theme="4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 patternType="solid">
          <bgColor theme="4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 patternType="solid">
          <bgColor theme="4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 patternType="solid">
          <bgColor theme="4" tint="0.59996337778862885"/>
        </patternFill>
      </fill>
    </dxf>
    <dxf>
      <font>
        <color theme="4" tint="-0.499984740745262"/>
      </font>
      <fill>
        <patternFill patternType="solid">
          <bgColor theme="4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 patternType="solid"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 patternType="solid"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 patternType="solid"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 patternType="solid">
          <bgColor theme="4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 patternType="solid"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theme="4" tint="-0.499984740745262"/>
      </font>
      <fill>
        <patternFill patternType="solid">
          <bgColor theme="4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 patternType="solid">
          <bgColor theme="4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 patternType="solid"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 patternType="solid"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 patternType="solid"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 patternType="solid">
          <bgColor theme="4" tint="0.59996337778862885"/>
        </patternFill>
      </fill>
    </dxf>
    <dxf>
      <font>
        <color theme="4" tint="-0.499984740745262"/>
      </font>
      <fill>
        <patternFill patternType="solid">
          <bgColor theme="4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 patternType="solid">
          <bgColor theme="4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 patternType="solid"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 patternType="solid"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 patternType="solid">
          <bgColor theme="4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 patternType="solid"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 patternType="solid">
          <bgColor theme="4" tint="0.59996337778862885"/>
        </patternFill>
      </fill>
    </dxf>
    <dxf>
      <font>
        <color theme="4" tint="-0.499984740745262"/>
      </font>
      <fill>
        <patternFill patternType="solid">
          <bgColor theme="4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 patternType="solid"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D2C8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BD7D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worksheet" Target="worksheets/sheet5.xml" /><Relationship Id="rId4" Type="http://schemas.openxmlformats.org/officeDocument/2006/relationships/worksheet" Target="worksheets/sheet4.xml" /><Relationship Id="rId9" Type="http://schemas.openxmlformats.org/officeDocument/2006/relationships/calcChain" Target="calcChain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448567</xdr:colOff>
      <xdr:row>0</xdr:row>
      <xdr:rowOff>0</xdr:rowOff>
    </xdr:from>
    <xdr:to>
      <xdr:col>3</xdr:col>
      <xdr:colOff>163893</xdr:colOff>
      <xdr:row>4</xdr:row>
      <xdr:rowOff>149552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642" t="28635" r="21976" b="34850"/>
        <a:stretch/>
      </xdr:blipFill>
      <xdr:spPr>
        <a:xfrm>
          <a:off x="1345714" y="0"/>
          <a:ext cx="1509621" cy="977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2:O67"/>
  <sheetViews>
    <sheetView showGridLines="0" zoomScaleNormal="100" workbookViewId="0">
      <selection sqref="A1:XFD1048576"/>
    </sheetView>
  </sheetViews>
  <sheetFormatPr defaultColWidth="10.8515625" defaultRowHeight="15"/>
  <cols>
    <col min="12" max="12" width="1.23046875" customWidth="1"/>
  </cols>
  <sheetData>
    <row r="12" spans="1:1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>
      <c r="A13" s="7"/>
      <c r="B13" s="7"/>
      <c r="C13" s="7"/>
      <c r="D13" s="7"/>
      <c r="E13" s="7"/>
      <c r="F13" s="7"/>
      <c r="G13" s="7"/>
      <c r="H13" s="7"/>
      <c r="I13" s="7"/>
      <c r="J13" s="7"/>
      <c r="K13" s="137">
        <f ca="1">TODAY()</f>
        <v>45257</v>
      </c>
      <c r="L13" s="137"/>
      <c r="M13" s="137"/>
      <c r="N13" s="137"/>
    </row>
    <row r="14" spans="1:1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39" t="s">
        <v>38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</row>
    <row r="18" spans="1:1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>
      <c r="A19" s="122" t="s">
        <v>19</v>
      </c>
      <c r="B19" s="123"/>
      <c r="C19" s="140">
        <v>603</v>
      </c>
      <c r="D19" s="140"/>
      <c r="E19" s="140"/>
      <c r="F19" s="9"/>
      <c r="G19" s="122" t="s">
        <v>20</v>
      </c>
      <c r="H19" s="122"/>
      <c r="I19" s="123"/>
      <c r="J19" s="141">
        <f>VLOOKUP($C$19,INVENTARIO!$1:$1048576,10,0)</f>
        <v>67.0154</v>
      </c>
      <c r="K19" s="141"/>
      <c r="L19" s="141"/>
      <c r="M19" s="141"/>
      <c r="N19" s="141"/>
    </row>
    <row r="20" spans="1:14">
      <c r="A20" s="122" t="s">
        <v>1</v>
      </c>
      <c r="B20" s="123"/>
      <c r="C20" s="142">
        <f>VLOOKUP($C$19,INVENTARIO!$1:$1048576,2,0)</f>
        <v>664</v>
      </c>
      <c r="D20" s="143"/>
      <c r="E20" s="22" t="str">
        <f>VLOOKUP($C$19,INVENTARIO!$1:$1048576,4,0)</f>
        <v>2R</v>
      </c>
      <c r="F20" s="9"/>
      <c r="G20" s="122" t="s">
        <v>21</v>
      </c>
      <c r="H20" s="122"/>
      <c r="I20" s="123"/>
      <c r="J20" s="141">
        <f>VLOOKUP($C$19,INVENTARIO!$1:$1048576,11,0)</f>
        <v>3.0459000000000001</v>
      </c>
      <c r="K20" s="141"/>
      <c r="L20" s="141"/>
      <c r="M20" s="141"/>
      <c r="N20" s="141"/>
    </row>
    <row r="21" spans="1:14">
      <c r="A21" s="122" t="s">
        <v>53</v>
      </c>
      <c r="B21" s="123"/>
      <c r="C21" s="99">
        <f>VLOOKUP($C$19,INVENTARIO!$1:$1048576,3,0)</f>
        <v>6</v>
      </c>
      <c r="D21" s="99"/>
      <c r="E21" s="99"/>
      <c r="F21" s="9"/>
      <c r="G21" s="120" t="s">
        <v>12</v>
      </c>
      <c r="H21" s="120"/>
      <c r="I21" s="121"/>
      <c r="J21" s="141">
        <f>VLOOKUP($C$19,INVENTARIO!$1:$1048576,12,0)</f>
        <v>70.061300000000003</v>
      </c>
      <c r="K21" s="141"/>
      <c r="L21" s="141"/>
      <c r="M21" s="141"/>
      <c r="N21" s="141"/>
    </row>
    <row r="22" spans="1:14">
      <c r="A22" s="144"/>
      <c r="B22" s="144"/>
      <c r="C22" s="130"/>
      <c r="D22" s="130"/>
      <c r="E22" s="130"/>
      <c r="F22" s="9"/>
    </row>
    <row r="23" spans="1:14">
      <c r="A23" s="131" t="s">
        <v>22</v>
      </c>
      <c r="B23" s="132"/>
      <c r="C23" s="133">
        <f>VLOOKUP($C$19,INVENTARIO!$1:$1048576,13,0)</f>
        <v>275000</v>
      </c>
      <c r="D23" s="133"/>
      <c r="E23" s="133"/>
      <c r="F23" s="9" t="s">
        <v>23</v>
      </c>
      <c r="G23" s="122" t="s">
        <v>3</v>
      </c>
      <c r="H23" s="122"/>
      <c r="I23" s="123"/>
      <c r="J23" s="124" t="str">
        <f>VLOOKUP($C$19,INVENTARIO!$1:$1048576,5,0)</f>
        <v>REVOLUCIÓN</v>
      </c>
      <c r="K23" s="125"/>
      <c r="M23" s="23" t="s">
        <v>50</v>
      </c>
      <c r="N23" s="39">
        <f>VLOOKUP($C$19,INVENTARIO!$1:$1048576,9,0)</f>
        <v>2.02</v>
      </c>
    </row>
    <row r="24" spans="1:14">
      <c r="A24" s="131" t="s">
        <v>24</v>
      </c>
      <c r="B24" s="132"/>
      <c r="C24" s="133" t="str">
        <f>VLOOKUP($C$19,INVENTARIO!$1:$1048576,15,0)</f>
        <v>VENDIDO</v>
      </c>
      <c r="D24" s="133"/>
      <c r="E24" s="133"/>
      <c r="F24" s="10"/>
      <c r="G24" s="10"/>
      <c r="H24" s="9"/>
      <c r="I24" s="10"/>
      <c r="J24" s="46" t="s">
        <v>25</v>
      </c>
      <c r="K24" s="128" t="s">
        <v>2</v>
      </c>
      <c r="L24" s="129"/>
      <c r="M24" s="129"/>
      <c r="N24" s="129"/>
    </row>
    <row r="25" spans="1:14">
      <c r="A25" s="131" t="s">
        <v>26</v>
      </c>
      <c r="B25" s="132"/>
      <c r="C25" s="134">
        <v>3000</v>
      </c>
      <c r="D25" s="134"/>
      <c r="E25" s="134"/>
      <c r="F25" s="9" t="s">
        <v>23</v>
      </c>
      <c r="G25" s="122" t="s">
        <v>9</v>
      </c>
      <c r="H25" s="122"/>
      <c r="I25" s="123"/>
      <c r="J25" s="47">
        <f>VLOOKUP($C$19,INVENTARIO!$1:$1048576,6,0)</f>
        <v>2</v>
      </c>
      <c r="K25" s="126" t="str">
        <f>VLOOKUP($C$19,INVENTARIO!$1:$1048576,7,0)</f>
        <v>REGULAR</v>
      </c>
      <c r="L25" s="127"/>
      <c r="M25" s="135" t="str">
        <f>VLOOKUP($C$19,INVENTARIO!$1:$1048576,8,0)</f>
        <v>DESCUBIERTO</v>
      </c>
      <c r="N25" s="136"/>
    </row>
    <row r="26" spans="1:1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>
      <c r="A27" s="117" t="s">
        <v>27</v>
      </c>
      <c r="B27" s="118"/>
      <c r="C27" s="119"/>
      <c r="D27" s="117" t="s">
        <v>28</v>
      </c>
      <c r="E27" s="118"/>
      <c r="F27" s="119"/>
      <c r="G27" s="11"/>
      <c r="H27" s="11"/>
      <c r="I27" s="11"/>
      <c r="J27" s="101" t="s">
        <v>29</v>
      </c>
      <c r="K27" s="101"/>
      <c r="L27" s="12"/>
      <c r="M27" s="101" t="s">
        <v>30</v>
      </c>
      <c r="N27" s="101"/>
    </row>
    <row r="28" spans="1:14">
      <c r="A28" s="7"/>
      <c r="B28" s="7"/>
      <c r="C28" s="7"/>
      <c r="D28" s="7"/>
      <c r="E28" s="7"/>
      <c r="F28" s="7"/>
      <c r="G28" s="7"/>
      <c r="H28" s="7"/>
      <c r="I28" s="7"/>
      <c r="J28" s="102"/>
      <c r="K28" s="102"/>
      <c r="L28" s="13"/>
      <c r="M28" s="102"/>
      <c r="N28" s="102"/>
    </row>
    <row r="29" spans="1:14">
      <c r="A29" s="120" t="s">
        <v>31</v>
      </c>
      <c r="B29" s="121"/>
      <c r="C29" s="114">
        <v>0.04</v>
      </c>
      <c r="D29" s="114"/>
      <c r="E29" s="10"/>
      <c r="F29" s="120" t="s">
        <v>32</v>
      </c>
      <c r="G29" s="121"/>
      <c r="H29" s="114">
        <v>0.9</v>
      </c>
      <c r="I29" s="114"/>
      <c r="J29" s="103" t="s">
        <v>33</v>
      </c>
      <c r="K29" s="103"/>
      <c r="L29" s="10"/>
      <c r="M29" s="103">
        <f>(C31*$H29)-C25</f>
        <v>234600</v>
      </c>
      <c r="N29" s="103"/>
    </row>
    <row r="30" spans="1:14">
      <c r="A30" s="120" t="s">
        <v>34</v>
      </c>
      <c r="B30" s="121"/>
      <c r="C30" s="113">
        <f>$C$23*C29</f>
        <v>11000</v>
      </c>
      <c r="D30" s="113"/>
      <c r="E30" s="14"/>
      <c r="F30" s="120" t="s">
        <v>35</v>
      </c>
      <c r="G30" s="121"/>
      <c r="H30" s="99" t="s">
        <v>33</v>
      </c>
      <c r="I30" s="99"/>
      <c r="J30" s="99" t="s">
        <v>33</v>
      </c>
      <c r="K30" s="99"/>
      <c r="L30" s="10"/>
      <c r="M30" s="99" t="s">
        <v>33</v>
      </c>
      <c r="N30" s="99"/>
    </row>
    <row r="31" spans="1:14">
      <c r="A31" s="120" t="s">
        <v>36</v>
      </c>
      <c r="B31" s="121"/>
      <c r="C31" s="113">
        <f>$C$23-C30</f>
        <v>264000</v>
      </c>
      <c r="D31" s="113"/>
      <c r="E31" s="14"/>
      <c r="F31" s="120" t="s">
        <v>37</v>
      </c>
      <c r="G31" s="121"/>
      <c r="H31" s="114">
        <v>0.1</v>
      </c>
      <c r="I31" s="114"/>
      <c r="J31" s="105" t="s">
        <v>33</v>
      </c>
      <c r="K31" s="105"/>
      <c r="L31" s="10"/>
      <c r="M31" s="105">
        <f>C31*$H31</f>
        <v>26400</v>
      </c>
      <c r="N31" s="105"/>
    </row>
    <row r="33" spans="1:15">
      <c r="A33" s="117" t="s">
        <v>39</v>
      </c>
      <c r="B33" s="118"/>
      <c r="C33" s="119"/>
      <c r="D33" s="117" t="s">
        <v>40</v>
      </c>
      <c r="E33" s="118"/>
      <c r="F33" s="119"/>
      <c r="G33" s="11"/>
      <c r="H33" s="11"/>
      <c r="I33" s="11"/>
      <c r="J33" s="101" t="s">
        <v>29</v>
      </c>
      <c r="K33" s="101"/>
      <c r="L33" s="12"/>
      <c r="M33" s="101" t="s">
        <v>30</v>
      </c>
      <c r="N33" s="101"/>
    </row>
    <row r="34" spans="1:15">
      <c r="A34" s="7"/>
      <c r="B34" s="7"/>
      <c r="C34" s="7"/>
      <c r="D34" s="7"/>
      <c r="E34" s="7"/>
      <c r="F34" s="7"/>
      <c r="G34" s="7"/>
      <c r="H34" s="7"/>
      <c r="I34" s="7"/>
      <c r="J34" s="102"/>
      <c r="K34" s="102"/>
      <c r="L34" s="13"/>
      <c r="M34" s="102"/>
      <c r="N34" s="102"/>
    </row>
    <row r="35" spans="1:15">
      <c r="A35" s="115" t="s">
        <v>31</v>
      </c>
      <c r="B35" s="116"/>
      <c r="C35" s="114">
        <v>0.02</v>
      </c>
      <c r="D35" s="114"/>
      <c r="E35" s="10"/>
      <c r="F35" s="115" t="s">
        <v>32</v>
      </c>
      <c r="G35" s="116"/>
      <c r="H35" s="114">
        <v>0.2</v>
      </c>
      <c r="I35" s="114">
        <v>0.2</v>
      </c>
      <c r="J35" s="103" t="s">
        <v>33</v>
      </c>
      <c r="K35" s="103"/>
      <c r="L35" s="10"/>
      <c r="M35" s="103">
        <f>(C37*$H35)-C25</f>
        <v>50900</v>
      </c>
      <c r="N35" s="103"/>
    </row>
    <row r="36" spans="1:15">
      <c r="A36" s="115" t="s">
        <v>34</v>
      </c>
      <c r="B36" s="116"/>
      <c r="C36" s="113">
        <f>$C$23*C35</f>
        <v>5500</v>
      </c>
      <c r="D36" s="113"/>
      <c r="E36" s="14"/>
      <c r="F36" s="115" t="s">
        <v>35</v>
      </c>
      <c r="G36" s="116"/>
      <c r="H36" s="99">
        <v>6</v>
      </c>
      <c r="I36" s="99">
        <v>14</v>
      </c>
      <c r="J36" s="100">
        <f>M36/H36</f>
        <v>13475.000000000002</v>
      </c>
      <c r="K36" s="100"/>
      <c r="L36" s="10"/>
      <c r="M36" s="98">
        <f>C37*(1-$H35-$H37)</f>
        <v>80850.000000000015</v>
      </c>
      <c r="N36" s="98"/>
    </row>
    <row r="37" spans="1:15">
      <c r="A37" s="115" t="s">
        <v>36</v>
      </c>
      <c r="B37" s="116"/>
      <c r="C37" s="113">
        <f>$C$23-C36</f>
        <v>269500</v>
      </c>
      <c r="D37" s="113"/>
      <c r="E37" s="14"/>
      <c r="F37" s="115" t="s">
        <v>37</v>
      </c>
      <c r="G37" s="116"/>
      <c r="H37" s="114">
        <v>0.5</v>
      </c>
      <c r="I37" s="114">
        <v>0.5</v>
      </c>
      <c r="J37" s="106" t="s">
        <v>33</v>
      </c>
      <c r="K37" s="107"/>
      <c r="L37" s="10"/>
      <c r="M37" s="105">
        <f>C37*$H37</f>
        <v>134750</v>
      </c>
      <c r="N37" s="105"/>
    </row>
    <row r="39" spans="1:15">
      <c r="A39" s="117" t="s">
        <v>41</v>
      </c>
      <c r="B39" s="118"/>
      <c r="C39" s="119"/>
      <c r="D39" s="117" t="s">
        <v>42</v>
      </c>
      <c r="E39" s="118"/>
      <c r="F39" s="119"/>
      <c r="G39" s="11"/>
      <c r="H39" s="11"/>
      <c r="I39" s="11"/>
      <c r="J39" s="101" t="s">
        <v>29</v>
      </c>
      <c r="K39" s="101"/>
      <c r="L39" s="12"/>
      <c r="M39" s="101" t="s">
        <v>30</v>
      </c>
      <c r="N39" s="101"/>
    </row>
    <row r="40" spans="1:15">
      <c r="A40" s="7"/>
      <c r="B40" s="7"/>
      <c r="C40" s="7"/>
      <c r="D40" s="7"/>
      <c r="E40" s="7"/>
      <c r="F40" s="7"/>
      <c r="G40" s="7"/>
      <c r="H40" s="7"/>
      <c r="I40" s="7"/>
      <c r="J40" s="102"/>
      <c r="K40" s="102"/>
      <c r="L40" s="13"/>
      <c r="M40" s="102"/>
      <c r="N40" s="102"/>
    </row>
    <row r="41" spans="1:15">
      <c r="A41" s="111" t="s">
        <v>31</v>
      </c>
      <c r="B41" s="112"/>
      <c r="C41" s="114">
        <v>0</v>
      </c>
      <c r="D41" s="114"/>
      <c r="E41" s="10"/>
      <c r="F41" s="111" t="s">
        <v>32</v>
      </c>
      <c r="G41" s="112"/>
      <c r="H41" s="104">
        <v>0.05</v>
      </c>
      <c r="I41" s="104">
        <v>0.2</v>
      </c>
      <c r="J41" s="103" t="s">
        <v>33</v>
      </c>
      <c r="K41" s="103"/>
      <c r="L41" s="10"/>
      <c r="M41" s="103">
        <f>(C43*$H41)-C25</f>
        <v>10750</v>
      </c>
      <c r="N41" s="103"/>
    </row>
    <row r="42" spans="1:15">
      <c r="A42" s="111" t="s">
        <v>34</v>
      </c>
      <c r="B42" s="112"/>
      <c r="C42" s="113">
        <f>$C$23*C41</f>
        <v>0</v>
      </c>
      <c r="D42" s="113"/>
      <c r="E42" s="14"/>
      <c r="F42" s="111" t="s">
        <v>35</v>
      </c>
      <c r="G42" s="112"/>
      <c r="H42" s="99">
        <v>6</v>
      </c>
      <c r="I42" s="99">
        <v>14</v>
      </c>
      <c r="J42" s="100">
        <f>M42/H42</f>
        <v>6874.9999999999964</v>
      </c>
      <c r="K42" s="100"/>
      <c r="L42" s="10"/>
      <c r="M42" s="98">
        <f>C43*(1-$H41-$H43)</f>
        <v>41249.999999999978</v>
      </c>
      <c r="N42" s="98"/>
    </row>
    <row r="43" spans="1:15">
      <c r="A43" s="111" t="s">
        <v>36</v>
      </c>
      <c r="B43" s="112"/>
      <c r="C43" s="113">
        <f>$C$23-C42</f>
        <v>275000</v>
      </c>
      <c r="D43" s="113"/>
      <c r="E43" s="14"/>
      <c r="F43" s="111" t="s">
        <v>37</v>
      </c>
      <c r="G43" s="112"/>
      <c r="H43" s="114">
        <v>0.8</v>
      </c>
      <c r="I43" s="114">
        <v>0.5</v>
      </c>
      <c r="J43" s="106" t="s">
        <v>33</v>
      </c>
      <c r="K43" s="107"/>
      <c r="L43" s="10"/>
      <c r="M43" s="105">
        <f>C43*$H43</f>
        <v>220000</v>
      </c>
      <c r="N43" s="105"/>
    </row>
    <row r="46" spans="1:15">
      <c r="A46" s="108" t="s">
        <v>43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</row>
    <row r="47" spans="1:1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</row>
    <row r="48" spans="1:15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</row>
    <row r="49" spans="1:15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</row>
    <row r="50" spans="1:15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</row>
    <row r="51" spans="1: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>
      <c r="A53" s="1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>
      <c r="A54" s="17" t="s">
        <v>44</v>
      </c>
      <c r="B54" s="18"/>
      <c r="C54" s="18"/>
      <c r="D54" s="7"/>
      <c r="E54" s="7"/>
      <c r="F54" s="7"/>
      <c r="G54" s="7"/>
      <c r="H54" s="7"/>
      <c r="I54" s="7"/>
      <c r="J54" s="7"/>
      <c r="K54" s="7"/>
      <c r="L54" s="7"/>
      <c r="M54" s="7"/>
      <c r="N54" s="19" t="s">
        <v>45</v>
      </c>
      <c r="O54" s="7"/>
    </row>
    <row r="55" spans="1:15" ht="16.149999999999999" customHeight="1">
      <c r="A55" s="138" t="s">
        <v>46</v>
      </c>
      <c r="B55" s="138"/>
      <c r="C55" s="138"/>
      <c r="D55" s="138"/>
      <c r="E55" s="7"/>
      <c r="F55" s="7"/>
      <c r="G55" s="109" t="s">
        <v>47</v>
      </c>
      <c r="H55" s="109"/>
      <c r="I55" s="109"/>
      <c r="J55" s="109"/>
      <c r="K55" s="109"/>
      <c r="L55" s="109"/>
      <c r="M55" s="109"/>
      <c r="N55" s="109"/>
      <c r="O55" s="7"/>
    </row>
    <row r="56" spans="1:15">
      <c r="A56" s="138"/>
      <c r="B56" s="138"/>
      <c r="C56" s="138"/>
      <c r="D56" s="138"/>
      <c r="E56" s="7"/>
      <c r="F56" s="7"/>
      <c r="G56" s="109"/>
      <c r="H56" s="109"/>
      <c r="I56" s="109"/>
      <c r="J56" s="109"/>
      <c r="K56" s="109"/>
      <c r="L56" s="109"/>
      <c r="M56" s="109"/>
      <c r="N56" s="109"/>
      <c r="O56" s="7"/>
    </row>
    <row r="57" spans="1:15">
      <c r="A57" s="138"/>
      <c r="B57" s="138"/>
      <c r="C57" s="138"/>
      <c r="D57" s="138"/>
      <c r="E57" s="7"/>
      <c r="F57" s="7"/>
      <c r="G57" s="109"/>
      <c r="H57" s="109"/>
      <c r="I57" s="109"/>
      <c r="J57" s="109"/>
      <c r="K57" s="109"/>
      <c r="L57" s="109"/>
      <c r="M57" s="109"/>
      <c r="N57" s="109"/>
      <c r="O57" s="7"/>
    </row>
    <row r="58" spans="1:15">
      <c r="A58" s="138"/>
      <c r="B58" s="138"/>
      <c r="C58" s="138"/>
      <c r="D58" s="138"/>
      <c r="E58" s="7"/>
      <c r="F58" s="7"/>
      <c r="G58" s="109"/>
      <c r="H58" s="109"/>
      <c r="I58" s="109"/>
      <c r="J58" s="109"/>
      <c r="K58" s="109"/>
      <c r="L58" s="109"/>
      <c r="M58" s="109"/>
      <c r="N58" s="109"/>
      <c r="O58" s="7"/>
    </row>
    <row r="59" spans="1:15">
      <c r="A59" s="138"/>
      <c r="B59" s="138"/>
      <c r="C59" s="138"/>
      <c r="D59" s="138"/>
      <c r="E59" s="7"/>
      <c r="F59" s="7"/>
      <c r="G59" s="109"/>
      <c r="H59" s="109"/>
      <c r="I59" s="109"/>
      <c r="J59" s="109"/>
      <c r="K59" s="109"/>
      <c r="L59" s="109"/>
      <c r="M59" s="109"/>
      <c r="N59" s="109"/>
      <c r="O59" s="7"/>
    </row>
    <row r="60" spans="1:15">
      <c r="A60" s="138"/>
      <c r="B60" s="138"/>
      <c r="C60" s="138"/>
      <c r="D60" s="138"/>
      <c r="E60" s="7"/>
      <c r="F60" s="7"/>
      <c r="G60" s="109"/>
      <c r="H60" s="109"/>
      <c r="I60" s="109"/>
      <c r="J60" s="109"/>
      <c r="K60" s="109"/>
      <c r="L60" s="109"/>
      <c r="M60" s="109"/>
      <c r="N60" s="109"/>
      <c r="O60" s="7"/>
    </row>
    <row r="61" spans="1:15">
      <c r="A61" s="7"/>
      <c r="B61" s="7"/>
      <c r="C61" s="7"/>
      <c r="D61" s="7"/>
      <c r="E61" s="7"/>
      <c r="F61" s="7"/>
      <c r="G61" s="109"/>
      <c r="H61" s="109"/>
      <c r="I61" s="109"/>
      <c r="J61" s="109"/>
      <c r="K61" s="109"/>
      <c r="L61" s="109"/>
      <c r="M61" s="109"/>
      <c r="N61" s="109"/>
      <c r="O61" s="7"/>
    </row>
    <row r="62" spans="1:15">
      <c r="A62" s="7"/>
      <c r="B62" s="7"/>
      <c r="C62" s="7"/>
      <c r="D62" s="7"/>
      <c r="E62" s="7"/>
      <c r="F62" s="7"/>
      <c r="G62" s="109"/>
      <c r="H62" s="109"/>
      <c r="I62" s="109"/>
      <c r="J62" s="109"/>
      <c r="K62" s="109"/>
      <c r="L62" s="109"/>
      <c r="M62" s="109"/>
      <c r="N62" s="109"/>
      <c r="O62" s="7"/>
    </row>
    <row r="63" spans="1:15">
      <c r="A63" s="7"/>
      <c r="B63" s="7"/>
      <c r="C63" s="7"/>
      <c r="D63" s="7"/>
      <c r="E63" s="7"/>
      <c r="F63" s="7"/>
      <c r="G63" s="109"/>
      <c r="H63" s="109"/>
      <c r="I63" s="109"/>
      <c r="J63" s="109"/>
      <c r="K63" s="109"/>
      <c r="L63" s="109"/>
      <c r="M63" s="109"/>
      <c r="N63" s="109"/>
      <c r="O63" s="7"/>
    </row>
    <row r="64" spans="1:15">
      <c r="A64" s="13"/>
      <c r="B64" s="7"/>
      <c r="C64" s="7"/>
      <c r="D64" s="7"/>
      <c r="E64" s="7"/>
      <c r="F64" s="7"/>
      <c r="G64" s="109"/>
      <c r="H64" s="109"/>
      <c r="I64" s="109"/>
      <c r="J64" s="109"/>
      <c r="K64" s="109"/>
      <c r="L64" s="109"/>
      <c r="M64" s="109"/>
      <c r="N64" s="109"/>
      <c r="O64" s="7"/>
    </row>
    <row r="65" spans="1:15">
      <c r="A65" s="20"/>
      <c r="B65" s="7"/>
      <c r="C65" s="7"/>
      <c r="D65" s="7"/>
      <c r="E65" s="7"/>
      <c r="F65" s="7"/>
      <c r="G65" s="109"/>
      <c r="H65" s="109"/>
      <c r="I65" s="109"/>
      <c r="J65" s="109"/>
      <c r="K65" s="109"/>
      <c r="L65" s="109"/>
      <c r="M65" s="109"/>
      <c r="N65" s="109"/>
      <c r="O65" s="7"/>
    </row>
    <row r="66" spans="1:15">
      <c r="A66" s="7"/>
      <c r="B66" s="21"/>
      <c r="C66" s="21"/>
      <c r="D66" s="21"/>
      <c r="E66" s="21"/>
      <c r="F66" s="7"/>
      <c r="G66" s="109"/>
      <c r="H66" s="109"/>
      <c r="I66" s="109"/>
      <c r="J66" s="109"/>
      <c r="K66" s="109"/>
      <c r="L66" s="109"/>
      <c r="M66" s="109"/>
      <c r="N66" s="109"/>
      <c r="O66" s="7"/>
    </row>
    <row r="67" spans="1:15">
      <c r="A67" s="7"/>
      <c r="B67" s="7"/>
      <c r="C67" s="110" t="s">
        <v>48</v>
      </c>
      <c r="D67" s="110"/>
      <c r="E67" s="7"/>
      <c r="F67" s="7"/>
      <c r="G67" s="109"/>
      <c r="H67" s="109"/>
      <c r="I67" s="109"/>
      <c r="J67" s="109"/>
      <c r="K67" s="109"/>
      <c r="L67" s="109"/>
      <c r="M67" s="109"/>
      <c r="N67" s="109"/>
      <c r="O67" s="7"/>
    </row>
  </sheetData>
  <sheetProtection algorithmName="SHA-512" hashValue="ekOhzC/9IOYBb689mxu6gnWrlvyiYqeXA9feH/7nj8YnnAHUXnWyj/FbltFzf3xXduHzVFP/mVobbEcu7RoeVg==" saltValue="HGyYhta3wt8HmQ0q4IpWKg==" spinCount="100000" sheet="1" objects="1" scenarios="1"/>
  <mergeCells count="98">
    <mergeCell ref="K13:N13"/>
    <mergeCell ref="A55:D60"/>
    <mergeCell ref="A17:N17"/>
    <mergeCell ref="A19:B19"/>
    <mergeCell ref="C19:E19"/>
    <mergeCell ref="J19:N19"/>
    <mergeCell ref="A20:B20"/>
    <mergeCell ref="J20:N20"/>
    <mergeCell ref="G19:I19"/>
    <mergeCell ref="C20:D20"/>
    <mergeCell ref="G20:I20"/>
    <mergeCell ref="A21:B21"/>
    <mergeCell ref="C21:E21"/>
    <mergeCell ref="G21:I21"/>
    <mergeCell ref="J21:N21"/>
    <mergeCell ref="A22:B22"/>
    <mergeCell ref="C22:E22"/>
    <mergeCell ref="A27:C27"/>
    <mergeCell ref="D27:F27"/>
    <mergeCell ref="J27:K28"/>
    <mergeCell ref="M27:N28"/>
    <mergeCell ref="A23:B23"/>
    <mergeCell ref="C23:E23"/>
    <mergeCell ref="A24:B24"/>
    <mergeCell ref="C24:E24"/>
    <mergeCell ref="A25:B25"/>
    <mergeCell ref="C25:E25"/>
    <mergeCell ref="M25:N25"/>
    <mergeCell ref="A30:B30"/>
    <mergeCell ref="C30:D30"/>
    <mergeCell ref="F30:G30"/>
    <mergeCell ref="J30:K30"/>
    <mergeCell ref="G23:I23"/>
    <mergeCell ref="A29:B29"/>
    <mergeCell ref="C29:D29"/>
    <mergeCell ref="F29:G29"/>
    <mergeCell ref="H29:I29"/>
    <mergeCell ref="J23:K23"/>
    <mergeCell ref="H30:I30"/>
    <mergeCell ref="K25:L25"/>
    <mergeCell ref="K24:N24"/>
    <mergeCell ref="G25:I25"/>
    <mergeCell ref="M29:N29"/>
    <mergeCell ref="M30:N30"/>
    <mergeCell ref="A31:B31"/>
    <mergeCell ref="C31:D31"/>
    <mergeCell ref="F31:G31"/>
    <mergeCell ref="H31:I31"/>
    <mergeCell ref="J31:K31"/>
    <mergeCell ref="A33:C33"/>
    <mergeCell ref="D33:F33"/>
    <mergeCell ref="J33:K34"/>
    <mergeCell ref="M33:N34"/>
    <mergeCell ref="A35:B35"/>
    <mergeCell ref="C35:D35"/>
    <mergeCell ref="F35:G35"/>
    <mergeCell ref="H35:I35"/>
    <mergeCell ref="J35:K35"/>
    <mergeCell ref="M35:N35"/>
    <mergeCell ref="A36:B36"/>
    <mergeCell ref="C36:D36"/>
    <mergeCell ref="F36:G36"/>
    <mergeCell ref="J36:K36"/>
    <mergeCell ref="M36:N36"/>
    <mergeCell ref="H36:I36"/>
    <mergeCell ref="A37:B37"/>
    <mergeCell ref="C37:D37"/>
    <mergeCell ref="F37:G37"/>
    <mergeCell ref="H37:I37"/>
    <mergeCell ref="A42:B42"/>
    <mergeCell ref="C42:D42"/>
    <mergeCell ref="F42:G42"/>
    <mergeCell ref="A39:C39"/>
    <mergeCell ref="D39:F39"/>
    <mergeCell ref="A41:B41"/>
    <mergeCell ref="C41:D41"/>
    <mergeCell ref="F41:G41"/>
    <mergeCell ref="M43:N43"/>
    <mergeCell ref="A46:O50"/>
    <mergeCell ref="G55:N67"/>
    <mergeCell ref="C67:D67"/>
    <mergeCell ref="A43:B43"/>
    <mergeCell ref="C43:D43"/>
    <mergeCell ref="F43:G43"/>
    <mergeCell ref="H43:I43"/>
    <mergeCell ref="J43:K43"/>
    <mergeCell ref="M31:N31"/>
    <mergeCell ref="J29:K29"/>
    <mergeCell ref="M37:N37"/>
    <mergeCell ref="M41:N41"/>
    <mergeCell ref="M39:N40"/>
    <mergeCell ref="J37:K37"/>
    <mergeCell ref="M42:N42"/>
    <mergeCell ref="H42:I42"/>
    <mergeCell ref="J42:K42"/>
    <mergeCell ref="J39:K40"/>
    <mergeCell ref="J41:K41"/>
    <mergeCell ref="H41:I41"/>
  </mergeCells>
  <conditionalFormatting sqref="C24:E24">
    <cfRule type="containsText" dxfId="288" priority="1" operator="containsText" text="RESERVADO">
      <formula>NOT(ISERROR(SEARCH("RESERVADO",C24)))</formula>
    </cfRule>
    <cfRule type="containsText" dxfId="287" priority="2" operator="containsText" text="DISPONIBLE">
      <formula>NOT(ISERROR(SEARCH("DISPONIBLE",C24)))</formula>
    </cfRule>
    <cfRule type="containsText" dxfId="286" priority="3" operator="containsText" text="VENDIDO">
      <formula>NOT(ISERROR(SEARCH("VENDIDO",C24)))</formula>
    </cfRule>
  </conditionalFormatting>
  <conditionalFormatting sqref="F24:G24">
    <cfRule type="containsText" dxfId="285" priority="8" operator="containsText" text="Reservado">
      <formula>NOT(ISERROR(SEARCH("Reservado",F24)))</formula>
    </cfRule>
    <cfRule type="containsText" dxfId="284" priority="9" operator="containsText" text="Vendido">
      <formula>NOT(ISERROR(SEARCH("Vendido",F24)))</formula>
    </cfRule>
    <cfRule type="containsText" dxfId="283" priority="10" operator="containsText" text="Disponible">
      <formula>NOT(ISERROR(SEARCH("Disponible",F24)))</formula>
    </cfRule>
  </conditionalFormatting>
  <dataValidations count="1">
    <dataValidation type="list" allowBlank="1" showInputMessage="1" showErrorMessage="1" sqref="H41:I41" xr:uid="{00000000-0002-0000-0000-000000000000}">
      <formula1>"5%,10%"</formula1>
    </dataValidation>
  </dataValidations>
  <pageMargins left="0.7" right="0.7" top="0.75" bottom="0.7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7"/>
  <sheetViews>
    <sheetView topLeftCell="A10" workbookViewId="0">
      <selection activeCell="R6" sqref="R6"/>
    </sheetView>
  </sheetViews>
  <sheetFormatPr defaultColWidth="10.8515625" defaultRowHeight="15"/>
  <cols>
    <col min="12" max="12" width="1.23046875" customWidth="1"/>
    <col min="15" max="15" width="1.109375" customWidth="1"/>
  </cols>
  <sheetData>
    <row r="1" spans="1:14">
      <c r="A1" s="93" t="s">
        <v>110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1:14">
      <c r="A2" s="63"/>
      <c r="B2" s="63"/>
      <c r="C2" s="63"/>
      <c r="D2" s="63"/>
      <c r="E2" s="63"/>
      <c r="F2" s="63"/>
      <c r="G2" s="63"/>
      <c r="H2" s="63"/>
      <c r="I2" s="63"/>
      <c r="J2" s="63"/>
      <c r="K2" s="173">
        <f ca="1">TODAY()</f>
        <v>45257</v>
      </c>
      <c r="L2" s="173"/>
      <c r="M2" s="173"/>
      <c r="N2" s="173"/>
    </row>
    <row r="3" spans="1:14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>
      <c r="A6" s="139" t="s">
        <v>113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1:14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>
      <c r="A8" s="122" t="s">
        <v>19</v>
      </c>
      <c r="B8" s="123"/>
      <c r="C8" s="174">
        <v>602</v>
      </c>
      <c r="D8" s="174"/>
      <c r="E8" s="174"/>
      <c r="F8" s="65"/>
      <c r="G8" s="122" t="s">
        <v>20</v>
      </c>
      <c r="H8" s="122"/>
      <c r="I8" s="123"/>
      <c r="J8" s="170">
        <f>VLOOKUP($C$8,INVENTARIO!$1:$1048576,10,0)</f>
        <v>47.506999999999998</v>
      </c>
      <c r="K8" s="170"/>
      <c r="L8" s="170"/>
      <c r="M8" s="170"/>
      <c r="N8" s="170"/>
    </row>
    <row r="9" spans="1:14">
      <c r="A9" s="122" t="s">
        <v>1</v>
      </c>
      <c r="B9" s="123"/>
      <c r="C9" s="168" t="str">
        <f>VLOOKUP($C$8,INVENTARIO!$1:$1048576,2,0)</f>
        <v>CEBRA</v>
      </c>
      <c r="D9" s="169"/>
      <c r="E9" s="66" t="str">
        <f>VLOOKUP($C$8,INVENTARIO!$1:$1048576,4,0)</f>
        <v>1R</v>
      </c>
      <c r="F9" s="65"/>
      <c r="G9" s="122" t="s">
        <v>21</v>
      </c>
      <c r="H9" s="122"/>
      <c r="I9" s="123"/>
      <c r="J9" s="170">
        <f>VLOOKUP($C$8,INVENTARIO!$1:$1048576,11,0)</f>
        <v>2.7523</v>
      </c>
      <c r="K9" s="170"/>
      <c r="L9" s="170"/>
      <c r="M9" s="170"/>
      <c r="N9" s="170"/>
    </row>
    <row r="10" spans="1:14">
      <c r="A10" s="122" t="s">
        <v>53</v>
      </c>
      <c r="B10" s="123"/>
      <c r="C10" s="159">
        <f>VLOOKUP($C$8,INVENTARIO!$1:$1048576,3,0)</f>
        <v>6</v>
      </c>
      <c r="D10" s="159"/>
      <c r="E10" s="159"/>
      <c r="F10" s="65"/>
      <c r="G10" s="120" t="s">
        <v>12</v>
      </c>
      <c r="H10" s="120"/>
      <c r="I10" s="121"/>
      <c r="J10" s="170">
        <f>VLOOKUP($C$8,INVENTARIO!$1:$1048576,12,0)</f>
        <v>50.259299999999996</v>
      </c>
      <c r="K10" s="170"/>
      <c r="L10" s="170"/>
      <c r="M10" s="170"/>
      <c r="N10" s="170"/>
    </row>
    <row r="11" spans="1:14">
      <c r="A11" s="144"/>
      <c r="B11" s="144"/>
      <c r="C11" s="171"/>
      <c r="D11" s="171"/>
      <c r="E11" s="171"/>
      <c r="F11" s="65"/>
      <c r="J11" s="67"/>
      <c r="K11" s="67"/>
      <c r="L11" s="67"/>
      <c r="M11" s="67"/>
      <c r="N11" s="67"/>
    </row>
    <row r="12" spans="1:14">
      <c r="A12" s="131" t="s">
        <v>22</v>
      </c>
      <c r="B12" s="132"/>
      <c r="C12" s="172">
        <f>VLOOKUP($C$8,INVENTARIO!$1:$1048576,13,0)</f>
        <v>190000</v>
      </c>
      <c r="D12" s="172"/>
      <c r="E12" s="172"/>
      <c r="F12" s="65" t="s">
        <v>23</v>
      </c>
      <c r="G12" s="122" t="s">
        <v>3</v>
      </c>
      <c r="H12" s="122"/>
      <c r="I12" s="123"/>
      <c r="J12" s="124" t="str">
        <f>VLOOKUP($C$8,INVENTARIO!$1:$1048576,5,0)</f>
        <v>REVOLUCIÓN</v>
      </c>
      <c r="K12" s="125"/>
      <c r="M12" s="61" t="s">
        <v>50</v>
      </c>
      <c r="N12" s="39">
        <f>VLOOKUP($C$8,INVENTARIO!$1:$1048576,9,0)</f>
        <v>1.95</v>
      </c>
    </row>
    <row r="13" spans="1:14">
      <c r="A13" s="131" t="s">
        <v>24</v>
      </c>
      <c r="B13" s="132"/>
      <c r="C13" s="133" t="str">
        <f>VLOOKUP($C$8,INVENTARIO!$1:$1048576,15,0)</f>
        <v>VENDIDO</v>
      </c>
      <c r="D13" s="133"/>
      <c r="E13" s="133"/>
      <c r="F13" s="62"/>
      <c r="G13" s="62"/>
      <c r="H13" s="9"/>
      <c r="I13" s="62"/>
      <c r="J13" s="68" t="s">
        <v>25</v>
      </c>
      <c r="K13" s="161" t="s">
        <v>2</v>
      </c>
      <c r="L13" s="162"/>
      <c r="M13" s="162"/>
      <c r="N13" s="162"/>
    </row>
    <row r="14" spans="1:14">
      <c r="A14" s="131" t="s">
        <v>26</v>
      </c>
      <c r="B14" s="132"/>
      <c r="C14" s="163">
        <v>3000</v>
      </c>
      <c r="D14" s="163"/>
      <c r="E14" s="163"/>
      <c r="F14" s="65" t="s">
        <v>23</v>
      </c>
      <c r="G14" s="122" t="s">
        <v>9</v>
      </c>
      <c r="H14" s="122"/>
      <c r="I14" s="123"/>
      <c r="J14" s="69">
        <f>VLOOKUP($C$8,INVENTARIO!$1:$1048576,6,0)</f>
        <v>1</v>
      </c>
      <c r="K14" s="164" t="str">
        <f>VLOOKUP($C$8,INVENTARIO!$1:$1048576,7,0)</f>
        <v>COMPACTO</v>
      </c>
      <c r="L14" s="165"/>
      <c r="M14" s="166" t="str">
        <f>VLOOKUP($C$8,INVENTARIO!$1:$1048576,8,0)</f>
        <v>SEMI TECHADO</v>
      </c>
      <c r="N14" s="167"/>
    </row>
    <row r="15" spans="1:14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4">
      <c r="A16" s="117" t="s">
        <v>27</v>
      </c>
      <c r="B16" s="118"/>
      <c r="C16" s="119"/>
      <c r="D16" s="117" t="s">
        <v>28</v>
      </c>
      <c r="E16" s="118"/>
      <c r="F16" s="119"/>
      <c r="G16" s="11"/>
      <c r="H16" s="11"/>
      <c r="I16" s="11"/>
      <c r="J16" s="155" t="s">
        <v>29</v>
      </c>
      <c r="K16" s="155"/>
      <c r="L16" s="12"/>
      <c r="M16" s="155" t="s">
        <v>30</v>
      </c>
      <c r="N16" s="155"/>
    </row>
    <row r="17" spans="1:14">
      <c r="A17" s="63"/>
      <c r="B17" s="63"/>
      <c r="C17" s="63"/>
      <c r="D17" s="63"/>
      <c r="E17" s="63"/>
      <c r="F17" s="63"/>
      <c r="G17" s="63"/>
      <c r="H17" s="63"/>
      <c r="I17" s="63"/>
      <c r="J17" s="156"/>
      <c r="K17" s="156"/>
      <c r="L17" s="70"/>
      <c r="M17" s="156"/>
      <c r="N17" s="156"/>
    </row>
    <row r="18" spans="1:14">
      <c r="A18" s="120" t="s">
        <v>31</v>
      </c>
      <c r="B18" s="121"/>
      <c r="C18" s="150">
        <v>0</v>
      </c>
      <c r="D18" s="150"/>
      <c r="E18" s="71"/>
      <c r="F18" s="120" t="s">
        <v>32</v>
      </c>
      <c r="G18" s="121"/>
      <c r="H18" s="150">
        <v>0.9</v>
      </c>
      <c r="I18" s="150"/>
      <c r="J18" s="158" t="s">
        <v>33</v>
      </c>
      <c r="K18" s="158"/>
      <c r="L18" s="71"/>
      <c r="M18" s="158">
        <f>(C20*$H18)-C14</f>
        <v>168000</v>
      </c>
      <c r="N18" s="158"/>
    </row>
    <row r="19" spans="1:14">
      <c r="A19" s="120" t="s">
        <v>34</v>
      </c>
      <c r="B19" s="121"/>
      <c r="C19" s="149">
        <f>$C$12*C18</f>
        <v>0</v>
      </c>
      <c r="D19" s="149"/>
      <c r="E19" s="72"/>
      <c r="F19" s="120" t="s">
        <v>35</v>
      </c>
      <c r="G19" s="121"/>
      <c r="H19" s="159" t="s">
        <v>33</v>
      </c>
      <c r="I19" s="159"/>
      <c r="J19" s="159" t="s">
        <v>33</v>
      </c>
      <c r="K19" s="159"/>
      <c r="L19" s="71"/>
      <c r="M19" s="159" t="s">
        <v>33</v>
      </c>
      <c r="N19" s="159"/>
    </row>
    <row r="20" spans="1:14">
      <c r="A20" s="120" t="s">
        <v>36</v>
      </c>
      <c r="B20" s="121"/>
      <c r="C20" s="149">
        <f>$C$12-C19</f>
        <v>190000</v>
      </c>
      <c r="D20" s="149"/>
      <c r="E20" s="72"/>
      <c r="F20" s="120" t="s">
        <v>37</v>
      </c>
      <c r="G20" s="121"/>
      <c r="H20" s="150">
        <v>0.1</v>
      </c>
      <c r="I20" s="150"/>
      <c r="J20" s="153" t="s">
        <v>33</v>
      </c>
      <c r="K20" s="153"/>
      <c r="L20" s="71"/>
      <c r="M20" s="153">
        <f>C20*$H20</f>
        <v>19000</v>
      </c>
      <c r="N20" s="153"/>
    </row>
    <row r="21" spans="1:14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</row>
    <row r="22" spans="1:14">
      <c r="A22" s="117" t="s">
        <v>39</v>
      </c>
      <c r="B22" s="118"/>
      <c r="C22" s="119"/>
      <c r="D22" s="117" t="s">
        <v>40</v>
      </c>
      <c r="E22" s="118"/>
      <c r="F22" s="119"/>
      <c r="G22" s="11"/>
      <c r="H22" s="11"/>
      <c r="I22" s="11"/>
      <c r="J22" s="155" t="s">
        <v>29</v>
      </c>
      <c r="K22" s="155"/>
      <c r="L22" s="12"/>
      <c r="M22" s="155" t="s">
        <v>30</v>
      </c>
      <c r="N22" s="155"/>
    </row>
    <row r="23" spans="1:14">
      <c r="A23" s="63"/>
      <c r="B23" s="63"/>
      <c r="C23" s="63"/>
      <c r="D23" s="63"/>
      <c r="E23" s="63"/>
      <c r="F23" s="63"/>
      <c r="G23" s="63"/>
      <c r="H23" s="63"/>
      <c r="I23" s="63"/>
      <c r="J23" s="156"/>
      <c r="K23" s="156"/>
      <c r="L23" s="70"/>
      <c r="M23" s="156"/>
      <c r="N23" s="156"/>
    </row>
    <row r="24" spans="1:14">
      <c r="A24" s="115" t="s">
        <v>31</v>
      </c>
      <c r="B24" s="116"/>
      <c r="C24" s="150">
        <v>0</v>
      </c>
      <c r="D24" s="150"/>
      <c r="E24" s="71"/>
      <c r="F24" s="115" t="s">
        <v>32</v>
      </c>
      <c r="G24" s="116"/>
      <c r="H24" s="150">
        <v>0.2</v>
      </c>
      <c r="I24" s="150">
        <v>0.2</v>
      </c>
      <c r="J24" s="158" t="s">
        <v>33</v>
      </c>
      <c r="K24" s="158"/>
      <c r="L24" s="71"/>
      <c r="M24" s="158">
        <f>(C26*$H24)-C14</f>
        <v>35000</v>
      </c>
      <c r="N24" s="158"/>
    </row>
    <row r="25" spans="1:14">
      <c r="A25" s="115" t="s">
        <v>34</v>
      </c>
      <c r="B25" s="116"/>
      <c r="C25" s="149">
        <f>$C$12*C24</f>
        <v>0</v>
      </c>
      <c r="D25" s="149"/>
      <c r="E25" s="72"/>
      <c r="F25" s="115" t="s">
        <v>35</v>
      </c>
      <c r="G25" s="116"/>
      <c r="H25" s="159">
        <v>2</v>
      </c>
      <c r="I25" s="159">
        <v>14</v>
      </c>
      <c r="J25" s="160">
        <f>M25/H25</f>
        <v>28500.000000000004</v>
      </c>
      <c r="K25" s="160"/>
      <c r="L25" s="71"/>
      <c r="M25" s="154">
        <f>C26*(1-$H24-$H26)</f>
        <v>57000.000000000007</v>
      </c>
      <c r="N25" s="154"/>
    </row>
    <row r="26" spans="1:14">
      <c r="A26" s="115" t="s">
        <v>36</v>
      </c>
      <c r="B26" s="116"/>
      <c r="C26" s="149">
        <f>$C$12-C25</f>
        <v>190000</v>
      </c>
      <c r="D26" s="149"/>
      <c r="E26" s="72"/>
      <c r="F26" s="115" t="s">
        <v>37</v>
      </c>
      <c r="G26" s="116"/>
      <c r="H26" s="150">
        <v>0.5</v>
      </c>
      <c r="I26" s="150">
        <v>0.5</v>
      </c>
      <c r="J26" s="151" t="s">
        <v>33</v>
      </c>
      <c r="K26" s="152"/>
      <c r="L26" s="71"/>
      <c r="M26" s="153">
        <f>C26*$H26</f>
        <v>95000</v>
      </c>
      <c r="N26" s="153"/>
    </row>
    <row r="27" spans="1:14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spans="1:14">
      <c r="A28" s="117" t="s">
        <v>41</v>
      </c>
      <c r="B28" s="118"/>
      <c r="C28" s="119"/>
      <c r="D28" s="117" t="s">
        <v>42</v>
      </c>
      <c r="E28" s="118"/>
      <c r="F28" s="119"/>
      <c r="G28" s="11"/>
      <c r="H28" s="11"/>
      <c r="I28" s="11"/>
      <c r="J28" s="155" t="s">
        <v>29</v>
      </c>
      <c r="K28" s="155"/>
      <c r="L28" s="12"/>
      <c r="M28" s="155" t="s">
        <v>30</v>
      </c>
      <c r="N28" s="155"/>
    </row>
    <row r="29" spans="1:14">
      <c r="A29" s="63"/>
      <c r="B29" s="63"/>
      <c r="C29" s="63"/>
      <c r="D29" s="63"/>
      <c r="E29" s="63"/>
      <c r="F29" s="63"/>
      <c r="G29" s="63"/>
      <c r="H29" s="63"/>
      <c r="I29" s="63"/>
      <c r="J29" s="156"/>
      <c r="K29" s="156"/>
      <c r="L29" s="70"/>
      <c r="M29" s="156"/>
      <c r="N29" s="156"/>
    </row>
    <row r="30" spans="1:14">
      <c r="A30" s="111" t="s">
        <v>31</v>
      </c>
      <c r="B30" s="112"/>
      <c r="C30" s="150">
        <v>0</v>
      </c>
      <c r="D30" s="150"/>
      <c r="E30" s="71"/>
      <c r="F30" s="111" t="s">
        <v>32</v>
      </c>
      <c r="G30" s="112"/>
      <c r="H30" s="157">
        <v>0.1</v>
      </c>
      <c r="I30" s="157">
        <v>0.2</v>
      </c>
      <c r="J30" s="158" t="s">
        <v>33</v>
      </c>
      <c r="K30" s="158"/>
      <c r="L30" s="71"/>
      <c r="M30" s="158">
        <f>(C32*$H30)-C14</f>
        <v>16000</v>
      </c>
      <c r="N30" s="158"/>
    </row>
    <row r="31" spans="1:14">
      <c r="A31" s="111" t="s">
        <v>34</v>
      </c>
      <c r="B31" s="112"/>
      <c r="C31" s="149">
        <f>$C$12*C30</f>
        <v>0</v>
      </c>
      <c r="D31" s="149"/>
      <c r="E31" s="72"/>
      <c r="F31" s="111" t="s">
        <v>35</v>
      </c>
      <c r="G31" s="112"/>
      <c r="H31" s="159">
        <v>2</v>
      </c>
      <c r="I31" s="159">
        <v>14</v>
      </c>
      <c r="J31" s="160">
        <f>M31/H31</f>
        <v>9499.9999999999982</v>
      </c>
      <c r="K31" s="160"/>
      <c r="L31" s="71"/>
      <c r="M31" s="154">
        <f>C32*(1-$H30-$H32)</f>
        <v>18999.999999999996</v>
      </c>
      <c r="N31" s="154"/>
    </row>
    <row r="32" spans="1:14">
      <c r="A32" s="111" t="s">
        <v>36</v>
      </c>
      <c r="B32" s="112"/>
      <c r="C32" s="149">
        <f>$C$12-C31</f>
        <v>190000</v>
      </c>
      <c r="D32" s="149"/>
      <c r="E32" s="72"/>
      <c r="F32" s="111" t="s">
        <v>37</v>
      </c>
      <c r="G32" s="112"/>
      <c r="H32" s="150">
        <v>0.8</v>
      </c>
      <c r="I32" s="150">
        <v>0.5</v>
      </c>
      <c r="J32" s="151" t="s">
        <v>33</v>
      </c>
      <c r="K32" s="152"/>
      <c r="L32" s="71"/>
      <c r="M32" s="153">
        <f>C32*$H32</f>
        <v>152000</v>
      </c>
      <c r="N32" s="153"/>
    </row>
    <row r="33" spans="1:1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1:1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1:15">
      <c r="A35" s="145" t="s">
        <v>43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</row>
    <row r="36" spans="1:15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</row>
    <row r="37" spans="1:15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</row>
    <row r="38" spans="1:15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</row>
    <row r="39" spans="1:15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</row>
    <row r="40" spans="1:15" hidden="1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</row>
    <row r="41" spans="1:1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</row>
    <row r="42" spans="1:15">
      <c r="A42" s="74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1:15">
      <c r="A43" s="75" t="s">
        <v>44</v>
      </c>
      <c r="B43" s="76"/>
      <c r="C43" s="76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77" t="s">
        <v>45</v>
      </c>
      <c r="O43" s="63"/>
    </row>
    <row r="44" spans="1:15" ht="16.149999999999999" customHeight="1">
      <c r="A44" s="146" t="s">
        <v>46</v>
      </c>
      <c r="B44" s="146"/>
      <c r="C44" s="146"/>
      <c r="D44" s="146"/>
      <c r="E44" s="63"/>
      <c r="F44" s="63"/>
      <c r="G44" s="147" t="s">
        <v>47</v>
      </c>
      <c r="H44" s="147"/>
      <c r="I44" s="147"/>
      <c r="J44" s="147"/>
      <c r="K44" s="147"/>
      <c r="L44" s="147"/>
      <c r="M44" s="147"/>
      <c r="N44" s="147"/>
      <c r="O44" s="63"/>
    </row>
    <row r="45" spans="1:15">
      <c r="A45" s="146"/>
      <c r="B45" s="146"/>
      <c r="C45" s="146"/>
      <c r="D45" s="146"/>
      <c r="E45" s="63"/>
      <c r="F45" s="63"/>
      <c r="G45" s="147"/>
      <c r="H45" s="147"/>
      <c r="I45" s="147"/>
      <c r="J45" s="147"/>
      <c r="K45" s="147"/>
      <c r="L45" s="147"/>
      <c r="M45" s="147"/>
      <c r="N45" s="147"/>
      <c r="O45" s="63"/>
    </row>
    <row r="46" spans="1:15">
      <c r="A46" s="146"/>
      <c r="B46" s="146"/>
      <c r="C46" s="146"/>
      <c r="D46" s="146"/>
      <c r="E46" s="63"/>
      <c r="F46" s="63"/>
      <c r="G46" s="147"/>
      <c r="H46" s="147"/>
      <c r="I46" s="147"/>
      <c r="J46" s="147"/>
      <c r="K46" s="147"/>
      <c r="L46" s="147"/>
      <c r="M46" s="147"/>
      <c r="N46" s="147"/>
      <c r="O46" s="63"/>
    </row>
    <row r="47" spans="1:15">
      <c r="A47" s="146"/>
      <c r="B47" s="146"/>
      <c r="C47" s="146"/>
      <c r="D47" s="146"/>
      <c r="E47" s="63"/>
      <c r="F47" s="63"/>
      <c r="G47" s="147"/>
      <c r="H47" s="147"/>
      <c r="I47" s="147"/>
      <c r="J47" s="147"/>
      <c r="K47" s="147"/>
      <c r="L47" s="147"/>
      <c r="M47" s="147"/>
      <c r="N47" s="147"/>
      <c r="O47" s="63"/>
    </row>
    <row r="48" spans="1:15">
      <c r="A48" s="146"/>
      <c r="B48" s="146"/>
      <c r="C48" s="146"/>
      <c r="D48" s="146"/>
      <c r="E48" s="63"/>
      <c r="F48" s="63"/>
      <c r="G48" s="147"/>
      <c r="H48" s="147"/>
      <c r="I48" s="147"/>
      <c r="J48" s="147"/>
      <c r="K48" s="147"/>
      <c r="L48" s="147"/>
      <c r="M48" s="147"/>
      <c r="N48" s="147"/>
      <c r="O48" s="63"/>
    </row>
    <row r="49" spans="1:15">
      <c r="A49" s="146"/>
      <c r="B49" s="146"/>
      <c r="C49" s="146"/>
      <c r="D49" s="146"/>
      <c r="E49" s="63"/>
      <c r="F49" s="63"/>
      <c r="G49" s="147"/>
      <c r="H49" s="147"/>
      <c r="I49" s="147"/>
      <c r="J49" s="147"/>
      <c r="K49" s="147"/>
      <c r="L49" s="147"/>
      <c r="M49" s="147"/>
      <c r="N49" s="147"/>
      <c r="O49" s="63"/>
    </row>
    <row r="50" spans="1:15">
      <c r="B50" s="63" t="s">
        <v>96</v>
      </c>
      <c r="C50" s="63"/>
      <c r="D50" s="63"/>
      <c r="E50" s="63"/>
      <c r="F50" s="63"/>
      <c r="G50" s="147"/>
      <c r="H50" s="147"/>
      <c r="I50" s="147"/>
      <c r="J50" s="147"/>
      <c r="K50" s="147"/>
      <c r="L50" s="147"/>
      <c r="M50" s="147"/>
      <c r="N50" s="147"/>
      <c r="O50" s="63"/>
    </row>
    <row r="51" spans="1:15">
      <c r="A51" s="63"/>
      <c r="B51" s="63"/>
      <c r="C51" s="63"/>
      <c r="D51" s="63"/>
      <c r="E51" s="63"/>
      <c r="F51" s="63"/>
      <c r="G51" s="147"/>
      <c r="H51" s="147"/>
      <c r="I51" s="147"/>
      <c r="J51" s="147"/>
      <c r="K51" s="147"/>
      <c r="L51" s="147"/>
      <c r="M51" s="147"/>
      <c r="N51" s="147"/>
      <c r="O51" s="63"/>
    </row>
    <row r="52" spans="1:15">
      <c r="A52" s="63"/>
      <c r="B52" s="63"/>
      <c r="C52" s="63"/>
      <c r="D52" s="63"/>
      <c r="E52" s="63"/>
      <c r="F52" s="63"/>
      <c r="G52" s="147"/>
      <c r="H52" s="147"/>
      <c r="I52" s="147"/>
      <c r="J52" s="147"/>
      <c r="K52" s="147"/>
      <c r="L52" s="147"/>
      <c r="M52" s="147"/>
      <c r="N52" s="147"/>
      <c r="O52" s="63"/>
    </row>
    <row r="53" spans="1:15">
      <c r="A53" s="70"/>
      <c r="B53" s="63"/>
      <c r="C53" s="63"/>
      <c r="D53" s="63"/>
      <c r="E53" s="63"/>
      <c r="F53" s="63"/>
      <c r="G53" s="147"/>
      <c r="H53" s="147"/>
      <c r="I53" s="147"/>
      <c r="J53" s="147"/>
      <c r="K53" s="147"/>
      <c r="L53" s="147"/>
      <c r="M53" s="147"/>
      <c r="N53" s="147"/>
      <c r="O53" s="63"/>
    </row>
    <row r="54" spans="1:15">
      <c r="A54" s="78"/>
      <c r="B54" s="63"/>
      <c r="C54" s="63"/>
      <c r="D54" s="63"/>
      <c r="E54" s="63"/>
      <c r="F54" s="63"/>
      <c r="G54" s="147"/>
      <c r="H54" s="147"/>
      <c r="I54" s="147"/>
      <c r="J54" s="147"/>
      <c r="K54" s="147"/>
      <c r="L54" s="147"/>
      <c r="M54" s="147"/>
      <c r="N54" s="147"/>
      <c r="O54" s="63"/>
    </row>
    <row r="55" spans="1:15">
      <c r="A55" s="63"/>
      <c r="B55" s="79"/>
      <c r="C55" s="79"/>
      <c r="D55" s="79"/>
      <c r="E55" s="79"/>
      <c r="F55" s="63"/>
      <c r="G55" s="147"/>
      <c r="H55" s="147"/>
      <c r="I55" s="147"/>
      <c r="J55" s="147"/>
      <c r="K55" s="147"/>
      <c r="L55" s="147"/>
      <c r="M55" s="147"/>
      <c r="N55" s="147"/>
      <c r="O55" s="63"/>
    </row>
    <row r="56" spans="1:15">
      <c r="A56" s="63"/>
      <c r="B56" s="63"/>
      <c r="C56" s="148" t="s">
        <v>48</v>
      </c>
      <c r="D56" s="148"/>
      <c r="E56" s="63"/>
      <c r="F56" s="63"/>
      <c r="G56" s="147"/>
      <c r="H56" s="147"/>
      <c r="I56" s="147"/>
      <c r="J56" s="147"/>
      <c r="K56" s="147"/>
      <c r="L56" s="147"/>
      <c r="M56" s="147"/>
      <c r="N56" s="147"/>
      <c r="O56" s="63"/>
    </row>
    <row r="57" spans="1:1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</sheetData>
  <sheetProtection sheet="1" objects="1" scenarios="1"/>
  <mergeCells count="98">
    <mergeCell ref="K2:N2"/>
    <mergeCell ref="A6:N6"/>
    <mergeCell ref="A8:B8"/>
    <mergeCell ref="C8:E8"/>
    <mergeCell ref="G8:I8"/>
    <mergeCell ref="J8:N8"/>
    <mergeCell ref="J12:K12"/>
    <mergeCell ref="A9:B9"/>
    <mergeCell ref="C9:D9"/>
    <mergeCell ref="G9:I9"/>
    <mergeCell ref="J9:N9"/>
    <mergeCell ref="A10:B10"/>
    <mergeCell ref="C10:E10"/>
    <mergeCell ref="G10:I10"/>
    <mergeCell ref="J10:N10"/>
    <mergeCell ref="A11:B11"/>
    <mergeCell ref="C11:E11"/>
    <mergeCell ref="A12:B12"/>
    <mergeCell ref="C12:E12"/>
    <mergeCell ref="G12:I12"/>
    <mergeCell ref="A13:B13"/>
    <mergeCell ref="C13:E13"/>
    <mergeCell ref="K13:N13"/>
    <mergeCell ref="A14:B14"/>
    <mergeCell ref="C14:E14"/>
    <mergeCell ref="G14:I14"/>
    <mergeCell ref="K14:L14"/>
    <mergeCell ref="M14:N14"/>
    <mergeCell ref="A16:C16"/>
    <mergeCell ref="D16:F16"/>
    <mergeCell ref="J16:K17"/>
    <mergeCell ref="M16:N17"/>
    <mergeCell ref="A18:B18"/>
    <mergeCell ref="C18:D18"/>
    <mergeCell ref="F18:G18"/>
    <mergeCell ref="H18:I18"/>
    <mergeCell ref="J18:K18"/>
    <mergeCell ref="M18:N18"/>
    <mergeCell ref="M20:N20"/>
    <mergeCell ref="A19:B19"/>
    <mergeCell ref="C19:D19"/>
    <mergeCell ref="F19:G19"/>
    <mergeCell ref="H19:I19"/>
    <mergeCell ref="J19:K19"/>
    <mergeCell ref="M19:N19"/>
    <mergeCell ref="A20:B20"/>
    <mergeCell ref="C20:D20"/>
    <mergeCell ref="F20:G20"/>
    <mergeCell ref="H20:I20"/>
    <mergeCell ref="J20:K20"/>
    <mergeCell ref="A22:C22"/>
    <mergeCell ref="D22:F22"/>
    <mergeCell ref="J22:K23"/>
    <mergeCell ref="M22:N23"/>
    <mergeCell ref="A24:B24"/>
    <mergeCell ref="C24:D24"/>
    <mergeCell ref="F24:G24"/>
    <mergeCell ref="H24:I24"/>
    <mergeCell ref="J24:K24"/>
    <mergeCell ref="M24:N24"/>
    <mergeCell ref="M26:N26"/>
    <mergeCell ref="A25:B25"/>
    <mergeCell ref="C25:D25"/>
    <mergeCell ref="F25:G25"/>
    <mergeCell ref="H25:I25"/>
    <mergeCell ref="J25:K25"/>
    <mergeCell ref="M25:N25"/>
    <mergeCell ref="A26:B26"/>
    <mergeCell ref="C26:D26"/>
    <mergeCell ref="F26:G26"/>
    <mergeCell ref="H26:I26"/>
    <mergeCell ref="J26:K26"/>
    <mergeCell ref="M31:N31"/>
    <mergeCell ref="A28:C28"/>
    <mergeCell ref="D28:F28"/>
    <mergeCell ref="J28:K29"/>
    <mergeCell ref="M28:N29"/>
    <mergeCell ref="A30:B30"/>
    <mergeCell ref="C30:D30"/>
    <mergeCell ref="F30:G30"/>
    <mergeCell ref="H30:I30"/>
    <mergeCell ref="J30:K30"/>
    <mergeCell ref="M30:N30"/>
    <mergeCell ref="A31:B31"/>
    <mergeCell ref="C31:D31"/>
    <mergeCell ref="F31:G31"/>
    <mergeCell ref="H31:I31"/>
    <mergeCell ref="J31:K31"/>
    <mergeCell ref="A35:O39"/>
    <mergeCell ref="A44:D49"/>
    <mergeCell ref="G44:N56"/>
    <mergeCell ref="C56:D56"/>
    <mergeCell ref="A32:B32"/>
    <mergeCell ref="C32:D32"/>
    <mergeCell ref="F32:G32"/>
    <mergeCell ref="H32:I32"/>
    <mergeCell ref="J32:K32"/>
    <mergeCell ref="M32:N32"/>
  </mergeCells>
  <conditionalFormatting sqref="C13:E13">
    <cfRule type="containsText" dxfId="282" priority="1" operator="containsText" text="RESERVADO">
      <formula>NOT(ISERROR(SEARCH("RESERVADO",C13)))</formula>
    </cfRule>
    <cfRule type="containsText" dxfId="281" priority="2" operator="containsText" text="DISPONIBLE">
      <formula>NOT(ISERROR(SEARCH("DISPONIBLE",C13)))</formula>
    </cfRule>
    <cfRule type="containsText" dxfId="280" priority="3" operator="containsText" text="VENDIDO">
      <formula>NOT(ISERROR(SEARCH("VENDIDO",C13)))</formula>
    </cfRule>
  </conditionalFormatting>
  <conditionalFormatting sqref="F13:G13">
    <cfRule type="containsText" dxfId="279" priority="4" operator="containsText" text="Reservado">
      <formula>NOT(ISERROR(SEARCH("Reservado",F13)))</formula>
    </cfRule>
    <cfRule type="containsText" dxfId="278" priority="5" operator="containsText" text="Vendido">
      <formula>NOT(ISERROR(SEARCH("Vendido",F13)))</formula>
    </cfRule>
    <cfRule type="containsText" dxfId="277" priority="6" operator="containsText" text="Disponible">
      <formula>NOT(ISERROR(SEARCH("Disponible",F13)))</formula>
    </cfRule>
  </conditionalFormatting>
  <dataValidations count="1">
    <dataValidation type="list" allowBlank="1" showInputMessage="1" showErrorMessage="1" sqref="H30:I30" xr:uid="{00000000-0002-0000-0100-000000000000}">
      <formula1>"5%,10%"</formula1>
    </dataValidation>
  </dataValidations>
  <pageMargins left="0.25" right="0.25" top="0.75" bottom="0.75" header="0.3" footer="0.3"/>
  <pageSetup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pageSetUpPr fitToPage="1"/>
  </sheetPr>
  <dimension ref="A1:V77"/>
  <sheetViews>
    <sheetView tabSelected="1" topLeftCell="A2" zoomScaleNormal="100" workbookViewId="0">
      <pane xSplit="1" ySplit="1" topLeftCell="F3" activePane="bottomRight" state="frozen"/>
      <selection activeCell="A2" sqref="A2"/>
      <selection pane="bottomLeft" activeCell="A3" sqref="A3"/>
      <selection pane="topRight" activeCell="B2" sqref="B2"/>
      <selection pane="bottomRight" activeCell="M69" sqref="M69"/>
    </sheetView>
  </sheetViews>
  <sheetFormatPr defaultColWidth="10.6015625" defaultRowHeight="12.75"/>
  <cols>
    <col min="1" max="1" width="9.6171875" style="3" bestFit="1" customWidth="1"/>
    <col min="2" max="2" width="14.30078125" style="3" bestFit="1" customWidth="1"/>
    <col min="3" max="3" width="9" style="3" bestFit="1" customWidth="1"/>
    <col min="4" max="4" width="8.26171875" style="3" bestFit="1" customWidth="1"/>
    <col min="5" max="5" width="16.27734375" style="3" bestFit="1" customWidth="1"/>
    <col min="6" max="6" width="11.58984375" style="4" bestFit="1" customWidth="1"/>
    <col min="7" max="7" width="13.5625" style="4" bestFit="1" customWidth="1"/>
    <col min="8" max="8" width="11.7109375" style="4" bestFit="1" customWidth="1"/>
    <col min="9" max="9" width="10.8515625" style="4" hidden="1" customWidth="1"/>
    <col min="10" max="10" width="9.4921875" style="40" bestFit="1" customWidth="1"/>
    <col min="11" max="11" width="9.98828125" style="42" bestFit="1" customWidth="1"/>
    <col min="12" max="12" width="11.9609375" style="42" bestFit="1" customWidth="1"/>
    <col min="13" max="13" width="10.6015625" style="45" bestFit="1" customWidth="1"/>
    <col min="14" max="14" width="8.01171875" style="3" hidden="1" customWidth="1"/>
    <col min="15" max="15" width="16.5234375" style="3" bestFit="1" customWidth="1"/>
    <col min="16" max="16" width="11.8359375" style="4" bestFit="1" customWidth="1"/>
    <col min="17" max="17" width="7.51953125" style="4" bestFit="1" customWidth="1"/>
    <col min="18" max="18" width="34.28125" style="4" bestFit="1" customWidth="1"/>
    <col min="19" max="19" width="11.34375" style="4" bestFit="1" customWidth="1"/>
    <col min="20" max="21" width="9.4921875" style="3" bestFit="1" customWidth="1"/>
    <col min="22" max="16384" width="10.6015625" style="3"/>
  </cols>
  <sheetData>
    <row r="1" spans="1:22" hidden="1">
      <c r="A1" s="4">
        <v>1</v>
      </c>
      <c r="B1" s="4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4">
        <v>8</v>
      </c>
      <c r="I1" s="4">
        <v>8</v>
      </c>
      <c r="J1" s="40">
        <v>9</v>
      </c>
      <c r="K1" s="40">
        <v>10</v>
      </c>
      <c r="L1" s="40">
        <v>11</v>
      </c>
      <c r="M1" s="43">
        <v>12</v>
      </c>
      <c r="N1" s="4">
        <v>13</v>
      </c>
      <c r="O1" s="4">
        <v>14</v>
      </c>
    </row>
    <row r="2" spans="1:22" ht="26.1" customHeight="1">
      <c r="A2" s="2" t="s">
        <v>0</v>
      </c>
      <c r="B2" s="2" t="s">
        <v>1</v>
      </c>
      <c r="C2" s="2" t="s">
        <v>53</v>
      </c>
      <c r="D2" s="2" t="s">
        <v>2</v>
      </c>
      <c r="E2" s="2" t="s">
        <v>3</v>
      </c>
      <c r="F2" s="2" t="s">
        <v>9</v>
      </c>
      <c r="G2" s="2" t="s">
        <v>49</v>
      </c>
      <c r="H2" s="2" t="s">
        <v>2</v>
      </c>
      <c r="I2" s="2" t="s">
        <v>50</v>
      </c>
      <c r="J2" s="41" t="s">
        <v>10</v>
      </c>
      <c r="K2" s="41" t="s">
        <v>11</v>
      </c>
      <c r="L2" s="41" t="s">
        <v>12</v>
      </c>
      <c r="M2" s="44" t="s">
        <v>15</v>
      </c>
      <c r="N2" s="2" t="s">
        <v>16</v>
      </c>
      <c r="O2" s="2" t="s">
        <v>17</v>
      </c>
      <c r="P2" s="2" t="s">
        <v>57</v>
      </c>
      <c r="Q2" s="2" t="s">
        <v>58</v>
      </c>
      <c r="R2" s="2" t="s">
        <v>60</v>
      </c>
      <c r="S2" s="2" t="s">
        <v>61</v>
      </c>
      <c r="T2" s="2" t="s">
        <v>85</v>
      </c>
      <c r="U2" s="88" t="s">
        <v>106</v>
      </c>
    </row>
    <row r="3" spans="1:22" hidden="1">
      <c r="A3" s="59">
        <v>101</v>
      </c>
      <c r="B3" s="59" t="s">
        <v>4</v>
      </c>
      <c r="C3" s="59">
        <v>1</v>
      </c>
      <c r="D3" s="59" t="s">
        <v>5</v>
      </c>
      <c r="E3" s="59" t="s">
        <v>14</v>
      </c>
      <c r="F3" s="59">
        <v>2</v>
      </c>
      <c r="G3" s="59" t="s">
        <v>51</v>
      </c>
      <c r="H3" s="59" t="s">
        <v>72</v>
      </c>
      <c r="I3" s="59">
        <v>2.11</v>
      </c>
      <c r="J3" s="90">
        <v>70.464200000000019</v>
      </c>
      <c r="K3" s="90">
        <v>6.6063999999999998</v>
      </c>
      <c r="L3" s="90">
        <v>77.070600000000013</v>
      </c>
      <c r="M3" s="87">
        <v>226000</v>
      </c>
      <c r="N3" s="5">
        <f t="shared" ref="N3:N44" si="0">M3/L3</f>
        <v>2932.3762887534281</v>
      </c>
      <c r="O3" s="6" t="s">
        <v>65</v>
      </c>
      <c r="P3" s="59" t="s">
        <v>64</v>
      </c>
      <c r="Q3" s="59">
        <v>31557</v>
      </c>
      <c r="R3" s="59" t="s">
        <v>81</v>
      </c>
      <c r="S3" s="59" t="s">
        <v>69</v>
      </c>
      <c r="T3" s="84">
        <v>44580</v>
      </c>
      <c r="U3" s="91">
        <v>44580</v>
      </c>
      <c r="V3" s="60"/>
    </row>
    <row r="4" spans="1:22" hidden="1">
      <c r="A4" s="59">
        <v>102</v>
      </c>
      <c r="B4" s="59" t="s">
        <v>6</v>
      </c>
      <c r="C4" s="59">
        <v>1</v>
      </c>
      <c r="D4" s="59" t="s">
        <v>7</v>
      </c>
      <c r="E4" s="59" t="s">
        <v>4</v>
      </c>
      <c r="F4" s="59">
        <v>1</v>
      </c>
      <c r="G4" s="59" t="s">
        <v>52</v>
      </c>
      <c r="H4" s="59" t="s">
        <v>72</v>
      </c>
      <c r="I4" s="59">
        <v>1.95</v>
      </c>
      <c r="J4" s="90">
        <v>47.506999999999998</v>
      </c>
      <c r="K4" s="90">
        <v>2.7523</v>
      </c>
      <c r="L4" s="90">
        <v>50.259299999999996</v>
      </c>
      <c r="M4" s="87">
        <v>181753.8</v>
      </c>
      <c r="N4" s="5">
        <f t="shared" si="0"/>
        <v>3616.3217553766167</v>
      </c>
      <c r="O4" s="6" t="s">
        <v>65</v>
      </c>
      <c r="P4" s="59" t="s">
        <v>63</v>
      </c>
      <c r="Q4" s="59">
        <v>31626</v>
      </c>
      <c r="R4" s="59" t="s">
        <v>79</v>
      </c>
      <c r="S4" s="59" t="s">
        <v>69</v>
      </c>
      <c r="T4" s="84">
        <v>44711</v>
      </c>
      <c r="U4" s="91">
        <v>44711</v>
      </c>
      <c r="V4" s="60"/>
    </row>
    <row r="5" spans="1:22" hidden="1">
      <c r="A5" s="59">
        <v>103</v>
      </c>
      <c r="B5" s="59">
        <v>664</v>
      </c>
      <c r="C5" s="59">
        <v>1</v>
      </c>
      <c r="D5" s="59" t="s">
        <v>5</v>
      </c>
      <c r="E5" s="59" t="s">
        <v>4</v>
      </c>
      <c r="F5" s="59">
        <v>1</v>
      </c>
      <c r="G5" s="59" t="s">
        <v>51</v>
      </c>
      <c r="H5" s="59" t="s">
        <v>72</v>
      </c>
      <c r="I5" s="59">
        <v>2.02</v>
      </c>
      <c r="J5" s="90">
        <v>67.0154</v>
      </c>
      <c r="K5" s="90">
        <v>3.0459000000000001</v>
      </c>
      <c r="L5" s="90">
        <v>70.061300000000003</v>
      </c>
      <c r="M5" s="87">
        <v>226000</v>
      </c>
      <c r="N5" s="5">
        <f t="shared" si="0"/>
        <v>3225.7465961950461</v>
      </c>
      <c r="O5" s="6" t="s">
        <v>65</v>
      </c>
      <c r="P5" s="59" t="s">
        <v>89</v>
      </c>
      <c r="Q5" s="59">
        <v>31722</v>
      </c>
      <c r="R5" s="59" t="s">
        <v>84</v>
      </c>
      <c r="S5" s="59" t="s">
        <v>69</v>
      </c>
      <c r="T5" s="84">
        <v>44888</v>
      </c>
      <c r="U5" s="91">
        <v>44893</v>
      </c>
      <c r="V5" s="60"/>
    </row>
    <row r="6" spans="1:22" ht="11.25" hidden="1" customHeight="1">
      <c r="A6" s="59">
        <v>104</v>
      </c>
      <c r="B6" s="59">
        <v>664</v>
      </c>
      <c r="C6" s="59">
        <v>1</v>
      </c>
      <c r="D6" s="59" t="s">
        <v>5</v>
      </c>
      <c r="E6" s="59" t="s">
        <v>4</v>
      </c>
      <c r="F6" s="59">
        <v>1</v>
      </c>
      <c r="G6" s="59" t="s">
        <v>51</v>
      </c>
      <c r="H6" s="59" t="s">
        <v>72</v>
      </c>
      <c r="I6" s="59">
        <v>2.11</v>
      </c>
      <c r="J6" s="90">
        <v>67.0154</v>
      </c>
      <c r="K6" s="90">
        <v>3.0459000000000001</v>
      </c>
      <c r="L6" s="90">
        <v>70.061300000000003</v>
      </c>
      <c r="M6" s="87">
        <v>262000</v>
      </c>
      <c r="N6" s="5">
        <f t="shared" si="0"/>
        <v>3739.5823371818678</v>
      </c>
      <c r="O6" s="6" t="s">
        <v>65</v>
      </c>
      <c r="P6" s="59" t="s">
        <v>89</v>
      </c>
      <c r="Q6" s="59">
        <v>31822</v>
      </c>
      <c r="R6" s="59" t="s">
        <v>98</v>
      </c>
      <c r="S6" s="59" t="s">
        <v>28</v>
      </c>
      <c r="T6" s="84">
        <v>45119</v>
      </c>
      <c r="U6" s="91">
        <v>45119</v>
      </c>
      <c r="V6" s="60"/>
    </row>
    <row r="7" spans="1:22" hidden="1">
      <c r="A7" s="59">
        <v>105</v>
      </c>
      <c r="B7" s="59" t="s">
        <v>6</v>
      </c>
      <c r="C7" s="59">
        <v>1</v>
      </c>
      <c r="D7" s="59" t="s">
        <v>7</v>
      </c>
      <c r="E7" s="59" t="s">
        <v>4</v>
      </c>
      <c r="F7" s="59">
        <v>1</v>
      </c>
      <c r="G7" s="59" t="s">
        <v>51</v>
      </c>
      <c r="H7" s="59" t="s">
        <v>72</v>
      </c>
      <c r="I7" s="59">
        <v>1.95</v>
      </c>
      <c r="J7" s="90">
        <v>47.506999999999998</v>
      </c>
      <c r="K7" s="90">
        <v>2.7523</v>
      </c>
      <c r="L7" s="90">
        <v>50.259299999999996</v>
      </c>
      <c r="M7" s="87">
        <v>161000</v>
      </c>
      <c r="N7" s="5">
        <f t="shared" si="0"/>
        <v>3203.3872338054848</v>
      </c>
      <c r="O7" s="6" t="s">
        <v>65</v>
      </c>
      <c r="P7" s="59" t="s">
        <v>67</v>
      </c>
      <c r="Q7" s="59">
        <v>31603</v>
      </c>
      <c r="R7" s="59" t="s">
        <v>78</v>
      </c>
      <c r="S7" s="59" t="s">
        <v>69</v>
      </c>
      <c r="T7" s="84">
        <v>44681</v>
      </c>
      <c r="U7" s="91">
        <v>44681</v>
      </c>
      <c r="V7" s="60"/>
    </row>
    <row r="8" spans="1:22" ht="12.75" customHeight="1">
      <c r="A8" s="59">
        <v>106</v>
      </c>
      <c r="B8" s="59" t="s">
        <v>4</v>
      </c>
      <c r="C8" s="59">
        <v>1</v>
      </c>
      <c r="D8" s="59" t="s">
        <v>5</v>
      </c>
      <c r="E8" s="59" t="s">
        <v>13</v>
      </c>
      <c r="F8" s="59">
        <v>2</v>
      </c>
      <c r="G8" s="59" t="s">
        <v>51</v>
      </c>
      <c r="H8" s="59" t="s">
        <v>72</v>
      </c>
      <c r="I8" s="59">
        <v>2.02</v>
      </c>
      <c r="J8" s="90">
        <v>70.464200000000019</v>
      </c>
      <c r="K8" s="90">
        <v>6.6063999999999998</v>
      </c>
      <c r="L8" s="90">
        <v>77.070600000000013</v>
      </c>
      <c r="M8" s="87">
        <v>254400</v>
      </c>
      <c r="N8" s="5">
        <f t="shared" si="0"/>
        <v>3300.8695922958946</v>
      </c>
      <c r="O8" s="6" t="s">
        <v>18</v>
      </c>
      <c r="P8" s="59"/>
      <c r="Q8" s="59"/>
      <c r="R8" s="59"/>
      <c r="S8" s="59"/>
      <c r="T8" s="84"/>
      <c r="U8" s="91"/>
      <c r="V8" s="60"/>
    </row>
    <row r="9" spans="1:22" hidden="1">
      <c r="A9" s="59">
        <v>201</v>
      </c>
      <c r="B9" s="59" t="s">
        <v>4</v>
      </c>
      <c r="C9" s="59">
        <v>2</v>
      </c>
      <c r="D9" s="59" t="s">
        <v>5</v>
      </c>
      <c r="E9" s="59" t="s">
        <v>14</v>
      </c>
      <c r="F9" s="59">
        <v>1</v>
      </c>
      <c r="G9" s="59" t="s">
        <v>51</v>
      </c>
      <c r="H9" s="59" t="s">
        <v>72</v>
      </c>
      <c r="I9" s="59">
        <v>2.11</v>
      </c>
      <c r="J9" s="90">
        <v>70.464200000000005</v>
      </c>
      <c r="K9" s="90">
        <v>7.2164000000000001</v>
      </c>
      <c r="L9" s="90">
        <v>77.680599999999998</v>
      </c>
      <c r="M9" s="87">
        <v>208000</v>
      </c>
      <c r="N9" s="5">
        <f t="shared" si="0"/>
        <v>2677.6312232397795</v>
      </c>
      <c r="O9" s="6" t="s">
        <v>65</v>
      </c>
      <c r="P9" s="59" t="s">
        <v>67</v>
      </c>
      <c r="Q9" s="59">
        <v>31579</v>
      </c>
      <c r="R9" s="59" t="s">
        <v>68</v>
      </c>
      <c r="S9" s="59" t="s">
        <v>69</v>
      </c>
      <c r="T9" s="84">
        <v>44617</v>
      </c>
      <c r="U9" s="91">
        <v>44617</v>
      </c>
      <c r="V9" s="60"/>
    </row>
    <row r="10" spans="1:22" hidden="1">
      <c r="A10" s="59">
        <v>202</v>
      </c>
      <c r="B10" s="59" t="s">
        <v>6</v>
      </c>
      <c r="C10" s="59">
        <v>2</v>
      </c>
      <c r="D10" s="59" t="s">
        <v>7</v>
      </c>
      <c r="E10" s="59" t="s">
        <v>4</v>
      </c>
      <c r="F10" s="59">
        <v>1</v>
      </c>
      <c r="G10" s="59" t="s">
        <v>52</v>
      </c>
      <c r="H10" s="59" t="s">
        <v>72</v>
      </c>
      <c r="I10" s="59">
        <v>1.95</v>
      </c>
      <c r="J10" s="90">
        <v>47.506999999999998</v>
      </c>
      <c r="K10" s="90">
        <v>2.7523</v>
      </c>
      <c r="L10" s="90">
        <v>50.259299999999996</v>
      </c>
      <c r="M10" s="87">
        <v>166000</v>
      </c>
      <c r="N10" s="5">
        <f t="shared" si="0"/>
        <v>3302.8713093895062</v>
      </c>
      <c r="O10" s="6" t="s">
        <v>65</v>
      </c>
      <c r="P10" s="59" t="s">
        <v>94</v>
      </c>
      <c r="Q10" s="59">
        <v>31797</v>
      </c>
      <c r="R10" s="59" t="s">
        <v>95</v>
      </c>
      <c r="S10" s="59" t="s">
        <v>69</v>
      </c>
      <c r="T10" s="84">
        <v>45046</v>
      </c>
      <c r="U10" s="91">
        <v>45056</v>
      </c>
      <c r="V10" s="60"/>
    </row>
    <row r="11" spans="1:22" hidden="1">
      <c r="A11" s="59">
        <v>203</v>
      </c>
      <c r="B11" s="59">
        <v>664</v>
      </c>
      <c r="C11" s="59">
        <v>2</v>
      </c>
      <c r="D11" s="59" t="s">
        <v>5</v>
      </c>
      <c r="E11" s="59" t="s">
        <v>4</v>
      </c>
      <c r="F11" s="59">
        <v>1</v>
      </c>
      <c r="G11" s="59" t="s">
        <v>51</v>
      </c>
      <c r="H11" s="59" t="s">
        <v>72</v>
      </c>
      <c r="I11" s="59">
        <v>2.02</v>
      </c>
      <c r="J11" s="90">
        <v>67.0154</v>
      </c>
      <c r="K11" s="90">
        <v>3.0459000000000001</v>
      </c>
      <c r="L11" s="90">
        <v>70.061300000000003</v>
      </c>
      <c r="M11" s="87">
        <v>219000</v>
      </c>
      <c r="N11" s="5">
        <f t="shared" si="0"/>
        <v>3125.8340910031643</v>
      </c>
      <c r="O11" s="6" t="s">
        <v>65</v>
      </c>
      <c r="P11" s="59" t="s">
        <v>67</v>
      </c>
      <c r="Q11" s="59">
        <v>31604</v>
      </c>
      <c r="R11" s="59" t="s">
        <v>78</v>
      </c>
      <c r="S11" s="59" t="s">
        <v>69</v>
      </c>
      <c r="T11" s="84">
        <v>44681</v>
      </c>
      <c r="U11" s="91">
        <v>44681</v>
      </c>
      <c r="V11" s="60"/>
    </row>
    <row r="12" spans="1:22" hidden="1">
      <c r="A12" s="59">
        <v>204</v>
      </c>
      <c r="B12" s="59">
        <v>664</v>
      </c>
      <c r="C12" s="59">
        <v>2</v>
      </c>
      <c r="D12" s="59" t="s">
        <v>5</v>
      </c>
      <c r="E12" s="59" t="s">
        <v>4</v>
      </c>
      <c r="F12" s="59">
        <v>1</v>
      </c>
      <c r="G12" s="59" t="s">
        <v>51</v>
      </c>
      <c r="H12" s="59" t="s">
        <v>72</v>
      </c>
      <c r="I12" s="59">
        <v>2.11</v>
      </c>
      <c r="J12" s="90">
        <v>67.0154</v>
      </c>
      <c r="K12" s="90">
        <v>3.0459000000000001</v>
      </c>
      <c r="L12" s="90">
        <v>70.061300000000003</v>
      </c>
      <c r="M12" s="87">
        <v>219000</v>
      </c>
      <c r="N12" s="5">
        <f t="shared" si="0"/>
        <v>3125.8340910031643</v>
      </c>
      <c r="O12" s="6" t="s">
        <v>65</v>
      </c>
      <c r="P12" s="59" t="s">
        <v>67</v>
      </c>
      <c r="Q12" s="59">
        <v>31602</v>
      </c>
      <c r="R12" s="59" t="s">
        <v>74</v>
      </c>
      <c r="S12" s="59" t="s">
        <v>69</v>
      </c>
      <c r="T12" s="84">
        <v>44680</v>
      </c>
      <c r="U12" s="91">
        <v>44680</v>
      </c>
      <c r="V12" s="60"/>
    </row>
    <row r="13" spans="1:22" hidden="1">
      <c r="A13" s="59">
        <v>205</v>
      </c>
      <c r="B13" s="59" t="s">
        <v>6</v>
      </c>
      <c r="C13" s="59">
        <v>2</v>
      </c>
      <c r="D13" s="59" t="s">
        <v>7</v>
      </c>
      <c r="E13" s="59" t="s">
        <v>4</v>
      </c>
      <c r="F13" s="59">
        <v>1</v>
      </c>
      <c r="G13" s="59" t="s">
        <v>51</v>
      </c>
      <c r="H13" s="59" t="s">
        <v>72</v>
      </c>
      <c r="I13" s="59">
        <v>1.95</v>
      </c>
      <c r="J13" s="90">
        <v>47.506999999999998</v>
      </c>
      <c r="K13" s="90">
        <v>2.7523</v>
      </c>
      <c r="L13" s="90">
        <v>50.259299999999996</v>
      </c>
      <c r="M13" s="87">
        <v>165024</v>
      </c>
      <c r="N13" s="5">
        <f t="shared" si="0"/>
        <v>3283.4520178355051</v>
      </c>
      <c r="O13" s="6" t="s">
        <v>65</v>
      </c>
      <c r="P13" s="59" t="s">
        <v>89</v>
      </c>
      <c r="Q13" s="59">
        <v>31546</v>
      </c>
      <c r="R13" s="59" t="s">
        <v>59</v>
      </c>
      <c r="S13" s="59" t="s">
        <v>62</v>
      </c>
      <c r="T13" s="84">
        <v>44574</v>
      </c>
      <c r="U13" s="91">
        <v>44573</v>
      </c>
      <c r="V13" s="60"/>
    </row>
    <row r="14" spans="1:22">
      <c r="A14" s="59">
        <v>206</v>
      </c>
      <c r="B14" s="59" t="s">
        <v>4</v>
      </c>
      <c r="C14" s="59">
        <v>2</v>
      </c>
      <c r="D14" s="59" t="s">
        <v>5</v>
      </c>
      <c r="E14" s="59" t="s">
        <v>13</v>
      </c>
      <c r="F14" s="59">
        <v>1</v>
      </c>
      <c r="G14" s="59" t="s">
        <v>51</v>
      </c>
      <c r="H14" s="59" t="s">
        <v>72</v>
      </c>
      <c r="I14" s="59">
        <v>2.02</v>
      </c>
      <c r="J14" s="90">
        <v>70.464200000000005</v>
      </c>
      <c r="K14" s="90">
        <v>7.2164000000000001</v>
      </c>
      <c r="L14" s="90">
        <v>77.680599999999998</v>
      </c>
      <c r="M14" s="87">
        <v>256400</v>
      </c>
      <c r="N14" s="5">
        <f t="shared" ref="N14:N39" si="1">M14/L14</f>
        <v>3300.6954117244204</v>
      </c>
      <c r="O14" s="6" t="s">
        <v>18</v>
      </c>
      <c r="P14" s="59"/>
      <c r="Q14" s="59"/>
      <c r="R14" s="59"/>
      <c r="S14" s="59"/>
      <c r="T14" s="84"/>
      <c r="U14" s="91"/>
      <c r="V14" s="60"/>
    </row>
    <row r="15" spans="1:22">
      <c r="A15" s="59">
        <v>301</v>
      </c>
      <c r="B15" s="59" t="s">
        <v>4</v>
      </c>
      <c r="C15" s="59">
        <v>3</v>
      </c>
      <c r="D15" s="59" t="s">
        <v>5</v>
      </c>
      <c r="E15" s="59" t="s">
        <v>14</v>
      </c>
      <c r="F15" s="59">
        <v>1</v>
      </c>
      <c r="G15" s="59" t="s">
        <v>51</v>
      </c>
      <c r="H15" s="59" t="s">
        <v>71</v>
      </c>
      <c r="I15" s="59">
        <v>2.11</v>
      </c>
      <c r="J15" s="90">
        <v>70.464200000000005</v>
      </c>
      <c r="K15" s="90">
        <v>7.2164000000000001</v>
      </c>
      <c r="L15" s="90">
        <v>77.680599999999998</v>
      </c>
      <c r="M15" s="87">
        <v>256400</v>
      </c>
      <c r="N15" s="5">
        <f t="shared" si="1"/>
        <v>3300.6954117244204</v>
      </c>
      <c r="O15" s="6" t="s">
        <v>18</v>
      </c>
      <c r="P15" s="59"/>
      <c r="Q15" s="59"/>
      <c r="R15" s="59"/>
      <c r="S15" s="59"/>
      <c r="T15" s="84"/>
      <c r="U15" s="91"/>
      <c r="V15" s="60"/>
    </row>
    <row r="16" spans="1:22" s="60" customFormat="1" hidden="1">
      <c r="A16" s="59">
        <v>302</v>
      </c>
      <c r="B16" s="59" t="s">
        <v>6</v>
      </c>
      <c r="C16" s="59">
        <v>3</v>
      </c>
      <c r="D16" s="59" t="s">
        <v>7</v>
      </c>
      <c r="E16" s="59" t="s">
        <v>4</v>
      </c>
      <c r="F16" s="59">
        <v>1</v>
      </c>
      <c r="G16" s="59" t="s">
        <v>52</v>
      </c>
      <c r="H16" s="59" t="s">
        <v>72</v>
      </c>
      <c r="I16" s="59">
        <v>1.95</v>
      </c>
      <c r="J16" s="90">
        <v>47.506999999999998</v>
      </c>
      <c r="K16" s="90">
        <v>2.7523</v>
      </c>
      <c r="L16" s="90">
        <v>50.259299999999996</v>
      </c>
      <c r="M16" s="87">
        <v>181000</v>
      </c>
      <c r="N16" s="94">
        <f t="shared" si="1"/>
        <v>3601.32353614157</v>
      </c>
      <c r="O16" s="95" t="s">
        <v>65</v>
      </c>
      <c r="P16" s="59" t="s">
        <v>67</v>
      </c>
      <c r="Q16" s="59">
        <v>31821</v>
      </c>
      <c r="R16" s="59" t="s">
        <v>99</v>
      </c>
      <c r="S16" s="59" t="s">
        <v>69</v>
      </c>
      <c r="T16" s="84">
        <v>45101</v>
      </c>
      <c r="U16" s="96">
        <v>45101</v>
      </c>
    </row>
    <row r="17" spans="1:22" s="60" customFormat="1">
      <c r="A17" s="59">
        <v>303</v>
      </c>
      <c r="B17" s="59">
        <v>664</v>
      </c>
      <c r="C17" s="59">
        <v>3</v>
      </c>
      <c r="D17" s="59" t="s">
        <v>5</v>
      </c>
      <c r="E17" s="59" t="s">
        <v>4</v>
      </c>
      <c r="F17" s="59">
        <v>1</v>
      </c>
      <c r="G17" s="59" t="s">
        <v>51</v>
      </c>
      <c r="H17" s="59" t="s">
        <v>72</v>
      </c>
      <c r="I17" s="59">
        <v>2.02</v>
      </c>
      <c r="J17" s="90">
        <v>67.0154</v>
      </c>
      <c r="K17" s="90">
        <v>3.0459000000000001</v>
      </c>
      <c r="L17" s="90">
        <v>70.061300000000003</v>
      </c>
      <c r="M17" s="87">
        <v>246700</v>
      </c>
      <c r="N17" s="94">
        <f t="shared" si="1"/>
        <v>3521.2021472624688</v>
      </c>
      <c r="O17" s="95" t="s">
        <v>18</v>
      </c>
      <c r="P17" s="59"/>
      <c r="Q17" s="59"/>
      <c r="R17" s="59"/>
      <c r="S17" s="59"/>
      <c r="T17" s="84"/>
      <c r="U17" s="96"/>
    </row>
    <row r="18" spans="1:22" s="60" customFormat="1">
      <c r="A18" s="59">
        <v>304</v>
      </c>
      <c r="B18" s="59">
        <v>664</v>
      </c>
      <c r="C18" s="59">
        <v>3</v>
      </c>
      <c r="D18" s="59" t="s">
        <v>5</v>
      </c>
      <c r="E18" s="59" t="s">
        <v>4</v>
      </c>
      <c r="F18" s="59">
        <v>1</v>
      </c>
      <c r="G18" s="59" t="s">
        <v>51</v>
      </c>
      <c r="H18" s="59" t="s">
        <v>72</v>
      </c>
      <c r="I18" s="59">
        <v>2.11</v>
      </c>
      <c r="J18" s="90">
        <v>67.0154</v>
      </c>
      <c r="K18" s="90">
        <v>3.0459000000000001</v>
      </c>
      <c r="L18" s="90">
        <v>70.061300000000003</v>
      </c>
      <c r="M18" s="87">
        <v>246700</v>
      </c>
      <c r="N18" s="94">
        <f t="shared" si="1"/>
        <v>3521.2021472624688</v>
      </c>
      <c r="O18" s="95" t="s">
        <v>18</v>
      </c>
      <c r="P18" s="59"/>
      <c r="Q18" s="59"/>
      <c r="R18" s="59"/>
      <c r="S18" s="59"/>
      <c r="T18" s="84"/>
      <c r="U18" s="96"/>
    </row>
    <row r="19" spans="1:22" s="60" customFormat="1" hidden="1">
      <c r="A19" s="59">
        <v>305</v>
      </c>
      <c r="B19" s="59" t="s">
        <v>6</v>
      </c>
      <c r="C19" s="59">
        <v>3</v>
      </c>
      <c r="D19" s="59" t="s">
        <v>7</v>
      </c>
      <c r="E19" s="59" t="s">
        <v>4</v>
      </c>
      <c r="F19" s="59">
        <v>1</v>
      </c>
      <c r="G19" s="59" t="s">
        <v>51</v>
      </c>
      <c r="H19" s="59" t="s">
        <v>71</v>
      </c>
      <c r="I19" s="59">
        <v>1.95</v>
      </c>
      <c r="J19" s="90">
        <v>47.506999999999998</v>
      </c>
      <c r="K19" s="90">
        <v>2.7523</v>
      </c>
      <c r="L19" s="90">
        <v>50.259299999999996</v>
      </c>
      <c r="M19" s="87">
        <v>169246</v>
      </c>
      <c r="N19" s="94">
        <f t="shared" si="1"/>
        <v>3367.4563712586528</v>
      </c>
      <c r="O19" s="95" t="s">
        <v>65</v>
      </c>
      <c r="P19" s="59" t="s">
        <v>67</v>
      </c>
      <c r="Q19" s="59">
        <v>31587</v>
      </c>
      <c r="R19" s="59" t="s">
        <v>70</v>
      </c>
      <c r="S19" s="59" t="s">
        <v>69</v>
      </c>
      <c r="T19" s="84">
        <v>44643</v>
      </c>
      <c r="U19" s="96">
        <v>44643</v>
      </c>
    </row>
    <row r="20" spans="1:22" s="60" customFormat="1">
      <c r="A20" s="59">
        <v>306</v>
      </c>
      <c r="B20" s="59" t="s">
        <v>4</v>
      </c>
      <c r="C20" s="59">
        <v>3</v>
      </c>
      <c r="D20" s="59" t="s">
        <v>5</v>
      </c>
      <c r="E20" s="59" t="s">
        <v>13</v>
      </c>
      <c r="F20" s="59">
        <v>1</v>
      </c>
      <c r="G20" s="59" t="s">
        <v>51</v>
      </c>
      <c r="H20" s="59" t="s">
        <v>71</v>
      </c>
      <c r="I20" s="59">
        <v>2.02</v>
      </c>
      <c r="J20" s="90">
        <v>70.464200000000005</v>
      </c>
      <c r="K20" s="90">
        <v>7.2164000000000001</v>
      </c>
      <c r="L20" s="90">
        <v>77.680599999999998</v>
      </c>
      <c r="M20" s="87">
        <v>256400</v>
      </c>
      <c r="N20" s="94">
        <f t="shared" si="1"/>
        <v>3300.6954117244204</v>
      </c>
      <c r="O20" s="95" t="s">
        <v>18</v>
      </c>
      <c r="P20" s="59"/>
      <c r="Q20" s="59"/>
      <c r="R20" s="59"/>
      <c r="S20" s="59"/>
      <c r="T20" s="84"/>
      <c r="U20" s="96"/>
    </row>
    <row r="21" spans="1:22" s="58" customFormat="1" hidden="1">
      <c r="A21" s="59">
        <v>401</v>
      </c>
      <c r="B21" s="59" t="s">
        <v>4</v>
      </c>
      <c r="C21" s="59">
        <v>4</v>
      </c>
      <c r="D21" s="59" t="s">
        <v>5</v>
      </c>
      <c r="E21" s="59" t="s">
        <v>14</v>
      </c>
      <c r="F21" s="59">
        <v>2</v>
      </c>
      <c r="G21" s="59" t="s">
        <v>51</v>
      </c>
      <c r="H21" s="59" t="s">
        <v>71</v>
      </c>
      <c r="I21" s="90">
        <v>2.11</v>
      </c>
      <c r="J21" s="90">
        <v>70.464200000000005</v>
      </c>
      <c r="K21" s="90">
        <v>7.2164000000000001</v>
      </c>
      <c r="L21" s="90">
        <v>77.680599999999998</v>
      </c>
      <c r="M21" s="87">
        <v>224000</v>
      </c>
      <c r="N21" s="5">
        <f t="shared" si="1"/>
        <v>2883.6028557966856</v>
      </c>
      <c r="O21" s="57" t="s">
        <v>65</v>
      </c>
      <c r="P21" s="59" t="s">
        <v>102</v>
      </c>
      <c r="Q21" s="59"/>
      <c r="R21" s="59"/>
      <c r="S21" s="59" t="s">
        <v>69</v>
      </c>
      <c r="T21" s="84">
        <v>44654</v>
      </c>
      <c r="U21" s="91">
        <v>44654</v>
      </c>
      <c r="V21" s="60"/>
    </row>
    <row r="22" spans="1:22" s="58" customFormat="1" hidden="1">
      <c r="A22" s="59">
        <v>402</v>
      </c>
      <c r="B22" s="59" t="s">
        <v>6</v>
      </c>
      <c r="C22" s="59">
        <v>4</v>
      </c>
      <c r="D22" s="59" t="s">
        <v>7</v>
      </c>
      <c r="E22" s="59" t="s">
        <v>4</v>
      </c>
      <c r="F22" s="59">
        <v>1</v>
      </c>
      <c r="G22" s="59" t="s">
        <v>52</v>
      </c>
      <c r="H22" s="59" t="s">
        <v>72</v>
      </c>
      <c r="I22" s="90">
        <v>1.95</v>
      </c>
      <c r="J22" s="90">
        <v>47.506999999999998</v>
      </c>
      <c r="K22" s="90">
        <v>2.7523</v>
      </c>
      <c r="L22" s="90">
        <v>50.259299999999996</v>
      </c>
      <c r="M22" s="87">
        <v>187000</v>
      </c>
      <c r="N22" s="5">
        <f t="shared" si="1"/>
        <v>3720.7044268423956</v>
      </c>
      <c r="O22" s="57" t="s">
        <v>65</v>
      </c>
      <c r="P22" s="59" t="s">
        <v>75</v>
      </c>
      <c r="Q22" s="59">
        <v>31613</v>
      </c>
      <c r="R22" s="59" t="s">
        <v>76</v>
      </c>
      <c r="S22" s="59" t="s">
        <v>77</v>
      </c>
      <c r="T22" s="84">
        <v>44677</v>
      </c>
      <c r="U22" s="91">
        <v>44677</v>
      </c>
      <c r="V22" s="60"/>
    </row>
    <row r="23" spans="1:22" s="58" customFormat="1">
      <c r="A23" s="59">
        <v>403</v>
      </c>
      <c r="B23" s="59">
        <v>664</v>
      </c>
      <c r="C23" s="59">
        <v>4</v>
      </c>
      <c r="D23" s="59" t="s">
        <v>5</v>
      </c>
      <c r="E23" s="59" t="s">
        <v>4</v>
      </c>
      <c r="F23" s="59">
        <v>1</v>
      </c>
      <c r="G23" s="59" t="s">
        <v>51</v>
      </c>
      <c r="H23" s="59" t="s">
        <v>72</v>
      </c>
      <c r="I23" s="90">
        <v>2.02</v>
      </c>
      <c r="J23" s="90">
        <v>67.0154</v>
      </c>
      <c r="K23" s="90">
        <v>3.0459000000000001</v>
      </c>
      <c r="L23" s="90">
        <v>70.061300000000003</v>
      </c>
      <c r="M23" s="87">
        <v>246700</v>
      </c>
      <c r="N23" s="5">
        <f t="shared" si="1"/>
        <v>3521.2021472624688</v>
      </c>
      <c r="O23" s="57" t="s">
        <v>18</v>
      </c>
      <c r="P23" s="85"/>
      <c r="Q23" s="85"/>
      <c r="R23" s="85"/>
      <c r="S23" s="85"/>
      <c r="T23" s="86"/>
      <c r="U23" s="92"/>
      <c r="V23" s="60"/>
    </row>
    <row r="24" spans="1:22" s="58" customFormat="1">
      <c r="A24" s="59">
        <v>404</v>
      </c>
      <c r="B24" s="59">
        <v>664</v>
      </c>
      <c r="C24" s="59">
        <v>4</v>
      </c>
      <c r="D24" s="59" t="s">
        <v>5</v>
      </c>
      <c r="E24" s="59" t="s">
        <v>4</v>
      </c>
      <c r="F24" s="59">
        <v>1</v>
      </c>
      <c r="G24" s="59" t="s">
        <v>51</v>
      </c>
      <c r="H24" s="59" t="s">
        <v>72</v>
      </c>
      <c r="I24" s="90">
        <v>2.11</v>
      </c>
      <c r="J24" s="90">
        <v>67.0154</v>
      </c>
      <c r="K24" s="90">
        <v>3.0459000000000001</v>
      </c>
      <c r="L24" s="90">
        <v>70.061300000000003</v>
      </c>
      <c r="M24" s="87">
        <v>246700</v>
      </c>
      <c r="N24" s="5">
        <f t="shared" si="1"/>
        <v>3521.2021472624688</v>
      </c>
      <c r="O24" s="57" t="s">
        <v>18</v>
      </c>
      <c r="P24" s="85"/>
      <c r="Q24" s="85"/>
      <c r="R24" s="85"/>
      <c r="S24" s="85"/>
      <c r="T24" s="86"/>
      <c r="U24" s="92"/>
      <c r="V24" s="60"/>
    </row>
    <row r="25" spans="1:22" s="58" customFormat="1" hidden="1">
      <c r="A25" s="59">
        <v>405</v>
      </c>
      <c r="B25" s="59" t="s">
        <v>6</v>
      </c>
      <c r="C25" s="59">
        <v>4</v>
      </c>
      <c r="D25" s="59" t="s">
        <v>7</v>
      </c>
      <c r="E25" s="59" t="s">
        <v>4</v>
      </c>
      <c r="F25" s="59">
        <v>1</v>
      </c>
      <c r="G25" s="59" t="s">
        <v>51</v>
      </c>
      <c r="H25" s="59" t="s">
        <v>71</v>
      </c>
      <c r="I25" s="90">
        <v>1.95</v>
      </c>
      <c r="J25" s="90">
        <v>47.506999999999998</v>
      </c>
      <c r="K25" s="90">
        <v>2.7523</v>
      </c>
      <c r="L25" s="90">
        <v>50.259299999999996</v>
      </c>
      <c r="M25" s="87">
        <v>180000</v>
      </c>
      <c r="N25" s="5">
        <f t="shared" si="1"/>
        <v>3581.4267210247658</v>
      </c>
      <c r="O25" s="57" t="s">
        <v>65</v>
      </c>
      <c r="P25" s="59" t="s">
        <v>87</v>
      </c>
      <c r="Q25" s="59">
        <v>31862</v>
      </c>
      <c r="R25" s="59" t="s">
        <v>109</v>
      </c>
      <c r="S25" s="59" t="s">
        <v>69</v>
      </c>
      <c r="T25" s="84">
        <v>45150</v>
      </c>
      <c r="U25" s="91">
        <v>45171</v>
      </c>
      <c r="V25" s="60"/>
    </row>
    <row r="26" spans="1:22" s="58" customFormat="1" hidden="1">
      <c r="A26" s="59">
        <v>406</v>
      </c>
      <c r="B26" s="59" t="s">
        <v>4</v>
      </c>
      <c r="C26" s="59">
        <v>4</v>
      </c>
      <c r="D26" s="59" t="s">
        <v>5</v>
      </c>
      <c r="E26" s="59" t="s">
        <v>13</v>
      </c>
      <c r="F26" s="59">
        <v>2</v>
      </c>
      <c r="G26" s="59" t="s">
        <v>51</v>
      </c>
      <c r="H26" s="59" t="s">
        <v>71</v>
      </c>
      <c r="I26" s="90">
        <v>2.02</v>
      </c>
      <c r="J26" s="90">
        <v>70.464200000000005</v>
      </c>
      <c r="K26" s="90">
        <v>7.2164000000000001</v>
      </c>
      <c r="L26" s="90">
        <v>77.680599999999998</v>
      </c>
      <c r="M26" s="87">
        <v>258447.6</v>
      </c>
      <c r="N26" s="5">
        <f t="shared" si="1"/>
        <v>3327.0546314008907</v>
      </c>
      <c r="O26" s="57" t="s">
        <v>65</v>
      </c>
      <c r="P26" s="59" t="s">
        <v>80</v>
      </c>
      <c r="Q26" s="59">
        <v>31712</v>
      </c>
      <c r="R26" s="59" t="s">
        <v>82</v>
      </c>
      <c r="S26" s="59" t="s">
        <v>69</v>
      </c>
      <c r="T26" s="84">
        <v>44865</v>
      </c>
      <c r="U26" s="91">
        <v>44845</v>
      </c>
      <c r="V26" s="60"/>
    </row>
    <row r="27" spans="1:22" hidden="1">
      <c r="A27" s="59">
        <v>501</v>
      </c>
      <c r="B27" s="59" t="s">
        <v>4</v>
      </c>
      <c r="C27" s="59">
        <v>5</v>
      </c>
      <c r="D27" s="59" t="s">
        <v>5</v>
      </c>
      <c r="E27" s="59" t="s">
        <v>14</v>
      </c>
      <c r="F27" s="59">
        <v>2</v>
      </c>
      <c r="G27" s="59" t="s">
        <v>51</v>
      </c>
      <c r="H27" s="59" t="s">
        <v>71</v>
      </c>
      <c r="I27" s="59">
        <v>2.11</v>
      </c>
      <c r="J27" s="90">
        <v>70.464200000000005</v>
      </c>
      <c r="K27" s="90">
        <v>7.2164000000000001</v>
      </c>
      <c r="L27" s="90">
        <v>77.680599999999998</v>
      </c>
      <c r="M27" s="87">
        <v>280000</v>
      </c>
      <c r="N27" s="5">
        <f t="shared" si="1"/>
        <v>3604.503569745857</v>
      </c>
      <c r="O27" s="6" t="s">
        <v>65</v>
      </c>
      <c r="P27" s="85" t="s">
        <v>101</v>
      </c>
      <c r="Q27" s="85">
        <v>31855</v>
      </c>
      <c r="R27" s="85" t="s">
        <v>108</v>
      </c>
      <c r="S27" s="85" t="s">
        <v>69</v>
      </c>
      <c r="T27" s="86">
        <v>45142</v>
      </c>
      <c r="U27" s="91">
        <v>45155</v>
      </c>
      <c r="V27" s="60"/>
    </row>
    <row r="28" spans="1:22" s="60" customFormat="1" hidden="1">
      <c r="A28" s="59">
        <v>502</v>
      </c>
      <c r="B28" s="59" t="s">
        <v>6</v>
      </c>
      <c r="C28" s="59">
        <v>5</v>
      </c>
      <c r="D28" s="59" t="s">
        <v>7</v>
      </c>
      <c r="E28" s="59" t="s">
        <v>4</v>
      </c>
      <c r="F28" s="59">
        <v>1</v>
      </c>
      <c r="G28" s="59" t="s">
        <v>52</v>
      </c>
      <c r="H28" s="59" t="s">
        <v>71</v>
      </c>
      <c r="I28" s="59">
        <v>1.95</v>
      </c>
      <c r="J28" s="90">
        <v>47.506999999999998</v>
      </c>
      <c r="K28" s="90">
        <v>2.7523</v>
      </c>
      <c r="L28" s="90">
        <v>50.259299999999996</v>
      </c>
      <c r="M28" s="87">
        <v>166520</v>
      </c>
      <c r="N28" s="94">
        <f t="shared" si="1"/>
        <v>3313.2176532502444</v>
      </c>
      <c r="O28" s="95" t="s">
        <v>65</v>
      </c>
      <c r="P28" s="59" t="s">
        <v>67</v>
      </c>
      <c r="Q28" s="59">
        <v>31777</v>
      </c>
      <c r="R28" s="59" t="s">
        <v>86</v>
      </c>
      <c r="S28" s="59" t="s">
        <v>28</v>
      </c>
      <c r="T28" s="84">
        <v>45014</v>
      </c>
      <c r="U28" s="96">
        <v>45014</v>
      </c>
    </row>
    <row r="29" spans="1:22" hidden="1">
      <c r="A29" s="59">
        <v>503</v>
      </c>
      <c r="B29" s="59">
        <v>664</v>
      </c>
      <c r="C29" s="59">
        <v>5</v>
      </c>
      <c r="D29" s="59" t="s">
        <v>5</v>
      </c>
      <c r="E29" s="59" t="s">
        <v>4</v>
      </c>
      <c r="F29" s="59">
        <v>1</v>
      </c>
      <c r="G29" s="59" t="s">
        <v>51</v>
      </c>
      <c r="H29" s="59" t="s">
        <v>72</v>
      </c>
      <c r="I29" s="59">
        <v>2.02</v>
      </c>
      <c r="J29" s="90">
        <v>67.0154</v>
      </c>
      <c r="K29" s="90">
        <v>3.0459000000000001</v>
      </c>
      <c r="L29" s="90">
        <v>70.061300000000003</v>
      </c>
      <c r="M29" s="87">
        <v>238000</v>
      </c>
      <c r="N29" s="5">
        <f t="shared" si="1"/>
        <v>3397.0251765239868</v>
      </c>
      <c r="O29" s="6" t="s">
        <v>65</v>
      </c>
      <c r="P29" s="59" t="s">
        <v>64</v>
      </c>
      <c r="Q29" s="59">
        <v>31790</v>
      </c>
      <c r="R29" s="59" t="s">
        <v>93</v>
      </c>
      <c r="S29" s="59" t="s">
        <v>69</v>
      </c>
      <c r="T29" s="84">
        <v>45019</v>
      </c>
      <c r="U29" s="91">
        <v>45019</v>
      </c>
      <c r="V29" s="60"/>
    </row>
    <row r="30" spans="1:22" hidden="1">
      <c r="A30" s="59">
        <v>504</v>
      </c>
      <c r="B30" s="59">
        <v>664</v>
      </c>
      <c r="C30" s="59">
        <v>5</v>
      </c>
      <c r="D30" s="59" t="s">
        <v>5</v>
      </c>
      <c r="E30" s="59" t="s">
        <v>4</v>
      </c>
      <c r="F30" s="59">
        <v>1</v>
      </c>
      <c r="G30" s="59" t="s">
        <v>51</v>
      </c>
      <c r="H30" s="59" t="s">
        <v>72</v>
      </c>
      <c r="I30" s="59">
        <v>2.11</v>
      </c>
      <c r="J30" s="90">
        <v>67.0154</v>
      </c>
      <c r="K30" s="90">
        <v>3.0459000000000001</v>
      </c>
      <c r="L30" s="90">
        <v>70.061300000000003</v>
      </c>
      <c r="M30" s="87">
        <v>238000</v>
      </c>
      <c r="N30" s="5">
        <f t="shared" si="1"/>
        <v>3397.0251765239868</v>
      </c>
      <c r="O30" s="6" t="s">
        <v>65</v>
      </c>
      <c r="P30" s="59" t="s">
        <v>89</v>
      </c>
      <c r="Q30" s="59">
        <v>31765</v>
      </c>
      <c r="R30" s="59" t="s">
        <v>92</v>
      </c>
      <c r="S30" s="59" t="s">
        <v>69</v>
      </c>
      <c r="T30" s="84">
        <v>44971</v>
      </c>
      <c r="U30" s="91">
        <v>44970</v>
      </c>
      <c r="V30" s="60"/>
    </row>
    <row r="31" spans="1:22" hidden="1">
      <c r="A31" s="59">
        <v>505</v>
      </c>
      <c r="B31" s="59" t="s">
        <v>6</v>
      </c>
      <c r="C31" s="59">
        <v>5</v>
      </c>
      <c r="D31" s="59" t="s">
        <v>7</v>
      </c>
      <c r="E31" s="59" t="s">
        <v>4</v>
      </c>
      <c r="F31" s="59">
        <v>1</v>
      </c>
      <c r="G31" s="59" t="s">
        <v>52</v>
      </c>
      <c r="H31" s="59" t="s">
        <v>71</v>
      </c>
      <c r="I31" s="59">
        <v>1.95</v>
      </c>
      <c r="J31" s="90">
        <v>47.506999999999998</v>
      </c>
      <c r="K31" s="90">
        <v>2.7523</v>
      </c>
      <c r="L31" s="90">
        <v>50.259299999999996</v>
      </c>
      <c r="M31" s="87">
        <v>181000</v>
      </c>
      <c r="N31" s="5">
        <f t="shared" si="1"/>
        <v>3601.32353614157</v>
      </c>
      <c r="O31" s="6" t="s">
        <v>65</v>
      </c>
      <c r="P31" s="59" t="s">
        <v>67</v>
      </c>
      <c r="Q31" s="59">
        <v>31739</v>
      </c>
      <c r="R31" s="59" t="s">
        <v>91</v>
      </c>
      <c r="S31" s="59" t="s">
        <v>69</v>
      </c>
      <c r="T31" s="84">
        <v>44957</v>
      </c>
      <c r="U31" s="91">
        <v>44956</v>
      </c>
      <c r="V31" s="60"/>
    </row>
    <row r="32" spans="1:22" hidden="1">
      <c r="A32" s="59">
        <v>506</v>
      </c>
      <c r="B32" s="59" t="s">
        <v>4</v>
      </c>
      <c r="C32" s="59">
        <v>5</v>
      </c>
      <c r="D32" s="59" t="s">
        <v>5</v>
      </c>
      <c r="E32" s="59" t="s">
        <v>13</v>
      </c>
      <c r="F32" s="59">
        <v>2</v>
      </c>
      <c r="G32" s="59" t="s">
        <v>51</v>
      </c>
      <c r="H32" s="59" t="s">
        <v>71</v>
      </c>
      <c r="I32" s="59">
        <v>2.02</v>
      </c>
      <c r="J32" s="90">
        <v>70.464200000000005</v>
      </c>
      <c r="K32" s="90">
        <v>7.2164000000000001</v>
      </c>
      <c r="L32" s="90">
        <v>77.680599999999998</v>
      </c>
      <c r="M32" s="87">
        <v>278409</v>
      </c>
      <c r="N32" s="5">
        <f t="shared" si="1"/>
        <v>3584.0222655334796</v>
      </c>
      <c r="O32" s="6" t="s">
        <v>65</v>
      </c>
      <c r="P32" s="59" t="s">
        <v>64</v>
      </c>
      <c r="Q32" s="59">
        <v>31785</v>
      </c>
      <c r="R32" s="59" t="s">
        <v>90</v>
      </c>
      <c r="S32" s="59" t="s">
        <v>69</v>
      </c>
      <c r="T32" s="84">
        <v>45013</v>
      </c>
      <c r="U32" s="91">
        <v>45013</v>
      </c>
      <c r="V32" s="60"/>
    </row>
    <row r="33" spans="1:22" hidden="1">
      <c r="A33" s="59">
        <v>601</v>
      </c>
      <c r="B33" s="59" t="s">
        <v>4</v>
      </c>
      <c r="C33" s="59">
        <v>6</v>
      </c>
      <c r="D33" s="59" t="s">
        <v>5</v>
      </c>
      <c r="E33" s="59" t="s">
        <v>14</v>
      </c>
      <c r="F33" s="59">
        <v>2</v>
      </c>
      <c r="G33" s="59" t="s">
        <v>51</v>
      </c>
      <c r="H33" s="59" t="s">
        <v>71</v>
      </c>
      <c r="I33" s="59">
        <v>2.11</v>
      </c>
      <c r="J33" s="90">
        <v>70.464200000000005</v>
      </c>
      <c r="K33" s="90">
        <v>7.2164000000000001</v>
      </c>
      <c r="L33" s="90">
        <v>77.680599999999998</v>
      </c>
      <c r="M33" s="87">
        <v>277000</v>
      </c>
      <c r="N33" s="5">
        <f t="shared" si="1"/>
        <v>3565.8838886414369</v>
      </c>
      <c r="O33" s="6" t="s">
        <v>65</v>
      </c>
      <c r="P33" s="59" t="s">
        <v>101</v>
      </c>
      <c r="Q33" s="59">
        <v>31827</v>
      </c>
      <c r="R33" s="59" t="s">
        <v>104</v>
      </c>
      <c r="S33" s="59" t="s">
        <v>69</v>
      </c>
      <c r="T33" s="84">
        <v>45110</v>
      </c>
      <c r="U33" s="91">
        <v>45121</v>
      </c>
      <c r="V33" s="60"/>
    </row>
    <row r="34" spans="1:22" hidden="1">
      <c r="A34" s="59">
        <v>602</v>
      </c>
      <c r="B34" s="59" t="s">
        <v>6</v>
      </c>
      <c r="C34" s="59">
        <v>6</v>
      </c>
      <c r="D34" s="59" t="s">
        <v>7</v>
      </c>
      <c r="E34" s="59" t="s">
        <v>4</v>
      </c>
      <c r="F34" s="59">
        <v>1</v>
      </c>
      <c r="G34" s="59" t="s">
        <v>52</v>
      </c>
      <c r="H34" s="59" t="s">
        <v>71</v>
      </c>
      <c r="I34" s="59">
        <v>1.95</v>
      </c>
      <c r="J34" s="90">
        <v>47.506999999999998</v>
      </c>
      <c r="K34" s="90">
        <v>2.7523</v>
      </c>
      <c r="L34" s="90">
        <v>50.259299999999996</v>
      </c>
      <c r="M34" s="87">
        <v>190000</v>
      </c>
      <c r="N34" s="5">
        <f t="shared" si="1"/>
        <v>3780.3948721928082</v>
      </c>
      <c r="O34" s="6" t="s">
        <v>65</v>
      </c>
      <c r="P34" s="59" t="s">
        <v>64</v>
      </c>
      <c r="Q34" s="59">
        <v>31897</v>
      </c>
      <c r="R34" s="59" t="s">
        <v>112</v>
      </c>
      <c r="S34" s="59" t="s">
        <v>69</v>
      </c>
      <c r="T34" s="84">
        <v>45224</v>
      </c>
      <c r="U34" s="91">
        <v>45233</v>
      </c>
      <c r="V34" s="60"/>
    </row>
    <row r="35" spans="1:22" hidden="1">
      <c r="A35" s="59">
        <v>603</v>
      </c>
      <c r="B35" s="59">
        <v>664</v>
      </c>
      <c r="C35" s="59">
        <v>6</v>
      </c>
      <c r="D35" s="59" t="s">
        <v>5</v>
      </c>
      <c r="E35" s="59" t="s">
        <v>4</v>
      </c>
      <c r="F35" s="59">
        <v>2</v>
      </c>
      <c r="G35" s="59" t="s">
        <v>51</v>
      </c>
      <c r="H35" s="59" t="s">
        <v>72</v>
      </c>
      <c r="I35" s="59">
        <v>2.02</v>
      </c>
      <c r="J35" s="90">
        <v>67.0154</v>
      </c>
      <c r="K35" s="90">
        <v>3.0459000000000001</v>
      </c>
      <c r="L35" s="90">
        <v>70.061300000000003</v>
      </c>
      <c r="M35" s="87">
        <v>275000</v>
      </c>
      <c r="N35" s="5">
        <f t="shared" si="1"/>
        <v>3925.13413253822</v>
      </c>
      <c r="O35" s="6" t="s">
        <v>65</v>
      </c>
      <c r="P35" s="59" t="s">
        <v>64</v>
      </c>
      <c r="Q35" s="59">
        <v>31823</v>
      </c>
      <c r="R35" s="59" t="s">
        <v>100</v>
      </c>
      <c r="S35" s="59" t="s">
        <v>69</v>
      </c>
      <c r="T35" s="84">
        <v>45104</v>
      </c>
      <c r="U35" s="91">
        <v>45101</v>
      </c>
      <c r="V35" s="60"/>
    </row>
    <row r="36" spans="1:22" ht="11.25" hidden="1" customHeight="1">
      <c r="A36" s="59">
        <v>604</v>
      </c>
      <c r="B36" s="59">
        <v>664</v>
      </c>
      <c r="C36" s="59">
        <v>6</v>
      </c>
      <c r="D36" s="59" t="s">
        <v>5</v>
      </c>
      <c r="E36" s="59" t="s">
        <v>4</v>
      </c>
      <c r="F36" s="59">
        <v>2</v>
      </c>
      <c r="G36" s="59" t="s">
        <v>51</v>
      </c>
      <c r="H36" s="59" t="s">
        <v>72</v>
      </c>
      <c r="I36" s="59">
        <v>2.11</v>
      </c>
      <c r="J36" s="90">
        <v>67.0154</v>
      </c>
      <c r="K36" s="90">
        <v>3.0459000000000001</v>
      </c>
      <c r="L36" s="90">
        <v>70.061300000000003</v>
      </c>
      <c r="M36" s="87">
        <v>272105.40000000002</v>
      </c>
      <c r="N36" s="5">
        <f t="shared" si="1"/>
        <v>3883.8188843198745</v>
      </c>
      <c r="O36" s="6" t="s">
        <v>65</v>
      </c>
      <c r="P36" s="59" t="s">
        <v>67</v>
      </c>
      <c r="Q36" s="59">
        <v>31810</v>
      </c>
      <c r="R36" s="59" t="s">
        <v>97</v>
      </c>
      <c r="S36" s="59" t="s">
        <v>28</v>
      </c>
      <c r="T36" s="84">
        <v>45083</v>
      </c>
      <c r="U36" s="91">
        <v>45083</v>
      </c>
      <c r="V36" s="60"/>
    </row>
    <row r="37" spans="1:22" hidden="1">
      <c r="A37" s="59">
        <v>605</v>
      </c>
      <c r="B37" s="59" t="s">
        <v>6</v>
      </c>
      <c r="C37" s="59">
        <v>6</v>
      </c>
      <c r="D37" s="59" t="s">
        <v>7</v>
      </c>
      <c r="E37" s="59" t="s">
        <v>4</v>
      </c>
      <c r="F37" s="59">
        <v>1</v>
      </c>
      <c r="G37" s="59" t="s">
        <v>52</v>
      </c>
      <c r="H37" s="59" t="s">
        <v>71</v>
      </c>
      <c r="I37" s="59">
        <v>1.95</v>
      </c>
      <c r="J37" s="90">
        <v>47.506999999999998</v>
      </c>
      <c r="K37" s="90">
        <v>2.7523</v>
      </c>
      <c r="L37" s="90">
        <v>50.259299999999996</v>
      </c>
      <c r="M37" s="87">
        <v>190000</v>
      </c>
      <c r="N37" s="5">
        <f t="shared" si="1"/>
        <v>3780.3948721928082</v>
      </c>
      <c r="O37" s="6" t="s">
        <v>65</v>
      </c>
      <c r="P37" s="59" t="s">
        <v>87</v>
      </c>
      <c r="Q37" s="59">
        <v>31780</v>
      </c>
      <c r="R37" s="59" t="s">
        <v>88</v>
      </c>
      <c r="S37" s="59" t="s">
        <v>69</v>
      </c>
      <c r="T37" s="84">
        <v>45028</v>
      </c>
      <c r="U37" s="91">
        <v>45028</v>
      </c>
      <c r="V37" s="60"/>
    </row>
    <row r="38" spans="1:22" hidden="1">
      <c r="A38" s="59">
        <v>606</v>
      </c>
      <c r="B38" s="59" t="s">
        <v>4</v>
      </c>
      <c r="C38" s="59">
        <v>6</v>
      </c>
      <c r="D38" s="59" t="s">
        <v>5</v>
      </c>
      <c r="E38" s="59" t="s">
        <v>13</v>
      </c>
      <c r="F38" s="59">
        <v>2</v>
      </c>
      <c r="G38" s="59" t="s">
        <v>51</v>
      </c>
      <c r="H38" s="59" t="s">
        <v>71</v>
      </c>
      <c r="I38" s="59">
        <v>2.02</v>
      </c>
      <c r="J38" s="90">
        <v>70.464200000000005</v>
      </c>
      <c r="K38" s="90">
        <v>7.2164000000000001</v>
      </c>
      <c r="L38" s="90">
        <v>77.680599999999998</v>
      </c>
      <c r="M38" s="87">
        <v>253552</v>
      </c>
      <c r="N38" s="5">
        <f t="shared" si="1"/>
        <v>3264.0324611292908</v>
      </c>
      <c r="O38" s="6" t="s">
        <v>65</v>
      </c>
      <c r="P38" s="59" t="s">
        <v>63</v>
      </c>
      <c r="Q38" s="59">
        <v>31554</v>
      </c>
      <c r="R38" s="59" t="s">
        <v>66</v>
      </c>
      <c r="S38" s="59" t="s">
        <v>62</v>
      </c>
      <c r="T38" s="84">
        <v>44955</v>
      </c>
      <c r="U38" s="91">
        <v>44586</v>
      </c>
      <c r="V38" s="60"/>
    </row>
    <row r="39" spans="1:22">
      <c r="A39" s="59">
        <v>701</v>
      </c>
      <c r="B39" s="59" t="s">
        <v>8</v>
      </c>
      <c r="C39" s="59">
        <v>7</v>
      </c>
      <c r="D39" s="59" t="s">
        <v>5</v>
      </c>
      <c r="E39" s="59" t="s">
        <v>14</v>
      </c>
      <c r="F39" s="59">
        <v>2</v>
      </c>
      <c r="G39" s="59" t="s">
        <v>51</v>
      </c>
      <c r="H39" s="59" t="s">
        <v>71</v>
      </c>
      <c r="I39" s="59">
        <v>2.11</v>
      </c>
      <c r="J39" s="90">
        <v>72.769000000000005</v>
      </c>
      <c r="K39" s="90">
        <v>18.753299999999999</v>
      </c>
      <c r="L39" s="90">
        <v>91.522300000000001</v>
      </c>
      <c r="M39" s="87">
        <v>320000</v>
      </c>
      <c r="N39" s="5">
        <f t="shared" si="1"/>
        <v>3496.4156276666999</v>
      </c>
      <c r="O39" s="6" t="s">
        <v>18</v>
      </c>
      <c r="P39" s="59"/>
      <c r="Q39" s="59"/>
      <c r="R39" s="59"/>
      <c r="S39" s="59"/>
      <c r="T39" s="84"/>
      <c r="U39" s="91"/>
      <c r="V39" s="60"/>
    </row>
    <row r="40" spans="1:22" hidden="1">
      <c r="A40" s="59">
        <v>702</v>
      </c>
      <c r="B40" s="59" t="s">
        <v>6</v>
      </c>
      <c r="C40" s="59">
        <v>7</v>
      </c>
      <c r="D40" s="59" t="s">
        <v>7</v>
      </c>
      <c r="E40" s="59" t="s">
        <v>4</v>
      </c>
      <c r="F40" s="59">
        <v>1</v>
      </c>
      <c r="G40" s="59" t="s">
        <v>52</v>
      </c>
      <c r="H40" s="59" t="s">
        <v>71</v>
      </c>
      <c r="I40" s="59">
        <v>1.95</v>
      </c>
      <c r="J40" s="90">
        <v>47.506999999999998</v>
      </c>
      <c r="K40" s="90">
        <v>2.7523</v>
      </c>
      <c r="L40" s="90">
        <v>50.259299999999996</v>
      </c>
      <c r="M40" s="87">
        <v>209000</v>
      </c>
      <c r="N40" s="5">
        <f t="shared" si="0"/>
        <v>4158.4343594120892</v>
      </c>
      <c r="O40" s="6" t="s">
        <v>65</v>
      </c>
      <c r="P40" s="59" t="s">
        <v>87</v>
      </c>
      <c r="Q40" s="59">
        <v>31835</v>
      </c>
      <c r="R40" s="59" t="s">
        <v>105</v>
      </c>
      <c r="S40" s="59" t="s">
        <v>28</v>
      </c>
      <c r="T40" s="86">
        <v>45132</v>
      </c>
      <c r="U40" s="91">
        <v>45132</v>
      </c>
      <c r="V40" s="60"/>
    </row>
    <row r="41" spans="1:22" hidden="1">
      <c r="A41" s="59">
        <v>703</v>
      </c>
      <c r="B41" s="59">
        <v>664</v>
      </c>
      <c r="C41" s="59">
        <v>7</v>
      </c>
      <c r="D41" s="59" t="s">
        <v>5</v>
      </c>
      <c r="E41" s="59" t="s">
        <v>4</v>
      </c>
      <c r="F41" s="59">
        <v>2</v>
      </c>
      <c r="G41" s="59" t="s">
        <v>51</v>
      </c>
      <c r="H41" s="59" t="s">
        <v>71</v>
      </c>
      <c r="I41" s="59">
        <v>2.02</v>
      </c>
      <c r="J41" s="90">
        <v>67.0154</v>
      </c>
      <c r="K41" s="90">
        <v>3.0459000000000001</v>
      </c>
      <c r="L41" s="90">
        <v>70.061300000000003</v>
      </c>
      <c r="M41" s="87">
        <v>280000</v>
      </c>
      <c r="N41" s="5">
        <f t="shared" si="0"/>
        <v>3996.5002076752785</v>
      </c>
      <c r="O41" s="6" t="s">
        <v>65</v>
      </c>
      <c r="P41" s="59" t="s">
        <v>102</v>
      </c>
      <c r="Q41" s="59">
        <v>31858</v>
      </c>
      <c r="R41" s="59" t="s">
        <v>107</v>
      </c>
      <c r="S41" s="59" t="s">
        <v>28</v>
      </c>
      <c r="T41" s="84">
        <v>45142</v>
      </c>
      <c r="U41" s="91">
        <v>45169</v>
      </c>
      <c r="V41" s="60"/>
    </row>
    <row r="42" spans="1:22" hidden="1">
      <c r="A42" s="59">
        <v>704</v>
      </c>
      <c r="B42" s="59">
        <v>664</v>
      </c>
      <c r="C42" s="59">
        <v>7</v>
      </c>
      <c r="D42" s="59" t="s">
        <v>5</v>
      </c>
      <c r="E42" s="59" t="s">
        <v>4</v>
      </c>
      <c r="F42" s="59">
        <v>2</v>
      </c>
      <c r="G42" s="59" t="s">
        <v>51</v>
      </c>
      <c r="H42" s="59" t="s">
        <v>71</v>
      </c>
      <c r="I42" s="59">
        <v>2.11</v>
      </c>
      <c r="J42" s="90">
        <v>67.0154</v>
      </c>
      <c r="K42" s="90">
        <v>3.0459000000000001</v>
      </c>
      <c r="L42" s="90">
        <v>70.061300000000003</v>
      </c>
      <c r="M42" s="87">
        <v>280000</v>
      </c>
      <c r="N42" s="5">
        <f t="shared" si="0"/>
        <v>3996.5002076752785</v>
      </c>
      <c r="O42" s="6" t="s">
        <v>65</v>
      </c>
      <c r="P42" s="59" t="s">
        <v>67</v>
      </c>
      <c r="Q42" s="59">
        <v>31832</v>
      </c>
      <c r="R42" s="59" t="s">
        <v>103</v>
      </c>
      <c r="S42" s="59" t="s">
        <v>69</v>
      </c>
      <c r="T42" s="84">
        <v>45134</v>
      </c>
      <c r="U42" s="91">
        <v>45134</v>
      </c>
      <c r="V42" s="60"/>
    </row>
    <row r="43" spans="1:22" hidden="1">
      <c r="A43" s="59">
        <v>705</v>
      </c>
      <c r="B43" s="59" t="s">
        <v>6</v>
      </c>
      <c r="C43" s="59">
        <v>7</v>
      </c>
      <c r="D43" s="59" t="s">
        <v>7</v>
      </c>
      <c r="E43" s="59" t="s">
        <v>4</v>
      </c>
      <c r="F43" s="59">
        <v>1</v>
      </c>
      <c r="G43" s="59" t="s">
        <v>52</v>
      </c>
      <c r="H43" s="59" t="s">
        <v>71</v>
      </c>
      <c r="I43" s="59">
        <v>1.95</v>
      </c>
      <c r="J43" s="90">
        <v>47.506999999999998</v>
      </c>
      <c r="K43" s="90">
        <v>2.7523</v>
      </c>
      <c r="L43" s="90">
        <v>50.259299999999996</v>
      </c>
      <c r="M43" s="87">
        <v>195000</v>
      </c>
      <c r="N43" s="5">
        <f t="shared" si="0"/>
        <v>3879.8789477768296</v>
      </c>
      <c r="O43" s="6" t="s">
        <v>65</v>
      </c>
      <c r="P43" s="59" t="s">
        <v>64</v>
      </c>
      <c r="Q43" s="59">
        <v>31876</v>
      </c>
      <c r="R43" s="59" t="s">
        <v>111</v>
      </c>
      <c r="S43" s="59" t="s">
        <v>69</v>
      </c>
      <c r="T43" s="84">
        <v>45182</v>
      </c>
      <c r="U43" s="91">
        <v>45201</v>
      </c>
      <c r="V43" s="60"/>
    </row>
    <row r="44" spans="1:22" hidden="1">
      <c r="A44" s="59">
        <v>706</v>
      </c>
      <c r="B44" s="59" t="s">
        <v>8</v>
      </c>
      <c r="C44" s="59">
        <v>7</v>
      </c>
      <c r="D44" s="59" t="s">
        <v>5</v>
      </c>
      <c r="E44" s="59" t="s">
        <v>13</v>
      </c>
      <c r="F44" s="59">
        <v>2</v>
      </c>
      <c r="G44" s="59" t="s">
        <v>51</v>
      </c>
      <c r="H44" s="59" t="s">
        <v>71</v>
      </c>
      <c r="I44" s="59">
        <v>2.02</v>
      </c>
      <c r="J44" s="90">
        <v>72.769000000000005</v>
      </c>
      <c r="K44" s="90">
        <v>18.753299999999999</v>
      </c>
      <c r="L44" s="90">
        <v>91.522300000000001</v>
      </c>
      <c r="M44" s="97">
        <v>331989.59999999998</v>
      </c>
      <c r="N44" s="5">
        <f t="shared" si="0"/>
        <v>3627.4175801963015</v>
      </c>
      <c r="O44" s="6" t="s">
        <v>65</v>
      </c>
      <c r="P44" s="59" t="s">
        <v>64</v>
      </c>
      <c r="Q44" s="59">
        <v>31720</v>
      </c>
      <c r="R44" s="59" t="s">
        <v>83</v>
      </c>
      <c r="S44" s="59" t="s">
        <v>69</v>
      </c>
      <c r="T44" s="84">
        <v>44894</v>
      </c>
      <c r="U44" s="91">
        <v>44894</v>
      </c>
      <c r="V44" s="60"/>
    </row>
    <row r="45" spans="1:22" hidden="1">
      <c r="M45" s="80">
        <f>SUM(M3:M44)</f>
        <v>9699447.4000000004</v>
      </c>
    </row>
    <row r="46" spans="1:22">
      <c r="P46" s="59"/>
      <c r="Q46" s="59"/>
      <c r="R46" s="59"/>
      <c r="S46" s="59"/>
      <c r="T46" s="60"/>
      <c r="U46" s="60"/>
    </row>
    <row r="47" spans="1:22" hidden="1">
      <c r="M47" s="45">
        <f>SUBTOTAL(9,M3:M46)</f>
        <v>2330400</v>
      </c>
    </row>
    <row r="48" spans="1:22" hidden="1"/>
    <row r="49" spans="13:16" hidden="1">
      <c r="M49" s="45">
        <f>9500000-M47</f>
        <v>7169600</v>
      </c>
    </row>
    <row r="50" spans="13:16" hidden="1"/>
    <row r="51" spans="13:16" hidden="1"/>
    <row r="52" spans="13:16" hidden="1">
      <c r="M52" s="45">
        <v>9699152</v>
      </c>
    </row>
    <row r="53" spans="13:16" hidden="1">
      <c r="M53" s="81">
        <f>+M45-M52</f>
        <v>295.40000000037253</v>
      </c>
    </row>
    <row r="54" spans="13:16" hidden="1"/>
    <row r="55" spans="13:16" hidden="1"/>
    <row r="56" spans="13:16" hidden="1"/>
    <row r="59" spans="13:16">
      <c r="P59" s="82"/>
    </row>
    <row r="60" spans="13:16">
      <c r="P60" s="82"/>
    </row>
    <row r="61" spans="13:16">
      <c r="P61" s="82"/>
    </row>
    <row r="63" spans="13:16">
      <c r="P63" s="82"/>
    </row>
    <row r="65" spans="7:15">
      <c r="G65" s="83"/>
    </row>
    <row r="77" spans="7:15">
      <c r="O77" s="89"/>
    </row>
  </sheetData>
  <sheetProtection selectLockedCells="1" selectUnlockedCells="1"/>
  <autoFilter ref="A2:U45" xr:uid="{00000000-0009-0000-0000-000002000000}">
    <filterColumn colId="14">
      <filters blank="1">
        <filter val="DISPONIBLE"/>
      </filters>
    </filterColumn>
  </autoFilter>
  <conditionalFormatting sqref="O3:O44">
    <cfRule type="containsText" dxfId="276" priority="1" operator="containsText" text="BLOQUEADO">
      <formula>NOT(ISERROR(SEARCH("BLOQUEADO",O3)))</formula>
    </cfRule>
    <cfRule type="containsText" dxfId="275" priority="2" operator="containsText" text="DISPONIBLE">
      <formula>NOT(ISERROR(SEARCH("DISPONIBLE",O3)))</formula>
    </cfRule>
    <cfRule type="containsText" dxfId="274" priority="3" operator="containsText" text="RESERVADO">
      <formula>NOT(ISERROR(SEARCH("RESERVADO",O3)))</formula>
    </cfRule>
    <cfRule type="containsText" dxfId="273" priority="4" operator="containsText" text="VENDIDO">
      <formula>NOT(ISERROR(SEARCH("VENDIDO",O3)))</formula>
    </cfRule>
  </conditionalFormatting>
  <dataValidations count="1">
    <dataValidation type="list" allowBlank="1" showInputMessage="1" showErrorMessage="1" sqref="O3:O44" xr:uid="{00000000-0002-0000-0200-000000000000}">
      <formula1>"DISPONIBLE, RESERVADO, VENDIDO, BLOQUEADO"</formula1>
    </dataValidation>
  </dataValidations>
  <pageMargins left="0.7" right="0.7" top="0.75" bottom="0.75" header="0.3" footer="0.3"/>
  <pageSetup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8:R38"/>
  <sheetViews>
    <sheetView showGridLines="0" topLeftCell="A10" zoomScale="75" zoomScaleNormal="91" workbookViewId="0">
      <selection activeCell="L28" sqref="L28"/>
    </sheetView>
  </sheetViews>
  <sheetFormatPr defaultColWidth="10.8515625" defaultRowHeight="15"/>
  <cols>
    <col min="3" max="3" width="15.1640625" customWidth="1"/>
    <col min="4" max="4" width="4.19140625" customWidth="1"/>
    <col min="5" max="5" width="16.64453125" bestFit="1" customWidth="1"/>
    <col min="6" max="6" width="11.46484375" bestFit="1" customWidth="1"/>
    <col min="7" max="7" width="13.6875" bestFit="1" customWidth="1"/>
    <col min="8" max="8" width="11.46484375" bestFit="1" customWidth="1"/>
    <col min="9" max="9" width="13.6875" bestFit="1" customWidth="1"/>
    <col min="10" max="10" width="11.46484375" bestFit="1" customWidth="1"/>
    <col min="11" max="11" width="7.2734375" customWidth="1"/>
    <col min="12" max="12" width="13.6875" bestFit="1" customWidth="1"/>
    <col min="13" max="13" width="11.46484375" bestFit="1" customWidth="1"/>
    <col min="14" max="14" width="13.6875" bestFit="1" customWidth="1"/>
    <col min="15" max="15" width="11.46484375" bestFit="1" customWidth="1"/>
    <col min="16" max="16" width="17.6328125" customWidth="1"/>
    <col min="17" max="17" width="11.46484375" bestFit="1" customWidth="1"/>
    <col min="18" max="18" width="3.69921875" customWidth="1"/>
  </cols>
  <sheetData>
    <row r="8" spans="4:18" ht="15.75" thickBot="1"/>
    <row r="9" spans="4:18" ht="18" customHeight="1" thickBot="1">
      <c r="D9" s="178" t="str">
        <f>VLOOKUP(F11,INVENTARIO!$1:$1048576,15,0)</f>
        <v>DISPONIBLE</v>
      </c>
      <c r="E9" s="180"/>
      <c r="F9" s="179"/>
      <c r="G9" s="178" t="str">
        <f>VLOOKUP(H11,INVENTARIO!$1:$1048576,15,0)</f>
        <v>VENDIDO</v>
      </c>
      <c r="H9" s="179"/>
      <c r="I9" s="178" t="str">
        <f>VLOOKUP(J11,INVENTARIO!$1:$1048576,15,0)</f>
        <v>VENDIDO</v>
      </c>
      <c r="J9" s="179"/>
      <c r="L9" s="178" t="str">
        <f>VLOOKUP(M11,INVENTARIO!$1:$1048576,15,0)</f>
        <v>VENDIDO</v>
      </c>
      <c r="M9" s="179"/>
      <c r="N9" s="178" t="str">
        <f>VLOOKUP(O11,INVENTARIO!$1:$1048576,15,0)</f>
        <v>VENDIDO</v>
      </c>
      <c r="O9" s="179"/>
      <c r="P9" s="178" t="str">
        <f>VLOOKUP(Q11,INVENTARIO!$1:$1048576,15,0)</f>
        <v>VENDIDO</v>
      </c>
      <c r="Q9" s="180"/>
      <c r="R9" s="179"/>
    </row>
    <row r="10" spans="4:18" ht="16.149999999999999" customHeight="1">
      <c r="D10" s="175">
        <f>IF(D9="disponible",VLOOKUP(F11,INVENTARIO!$1:$1048576,13,0), "")</f>
        <v>320000</v>
      </c>
      <c r="E10" s="177"/>
      <c r="F10" s="176"/>
      <c r="G10" s="175" t="str">
        <f>IF(G9="disponible",VLOOKUP(H11,INVENTARIO!$1:$1048576,13,0), "")</f>
        <v/>
      </c>
      <c r="H10" s="176"/>
      <c r="I10" s="175" t="str">
        <f>IF(I9="disponible",VLOOKUP(J11,INVENTARIO!$1:$1048576,13,0), "")</f>
        <v/>
      </c>
      <c r="J10" s="176"/>
      <c r="K10" s="185" t="s">
        <v>54</v>
      </c>
      <c r="L10" s="175" t="str">
        <f>IF(L9="disponible",VLOOKUP(M11,INVENTARIO!$1:$1048576,13,0), "")</f>
        <v/>
      </c>
      <c r="M10" s="176"/>
      <c r="N10" s="175" t="str">
        <f>IF(N9="disponible",VLOOKUP(O11,INVENTARIO!$1:$1048576,13,0), "")</f>
        <v/>
      </c>
      <c r="O10" s="176"/>
      <c r="P10" s="175" t="str">
        <f>IF(P9="disponible",VLOOKUP(Q11,INVENTARIO!$1:$1048576,13,0), "")</f>
        <v/>
      </c>
      <c r="Q10" s="177"/>
      <c r="R10" s="176"/>
    </row>
    <row r="11" spans="4:18" ht="15.75" thickBot="1">
      <c r="D11" s="188" t="str">
        <f>VLOOKUP(F11,INVENTARIO!$1:$1048576,2,0)</f>
        <v>REVOLUCIÓN PLUS</v>
      </c>
      <c r="E11" s="189"/>
      <c r="F11" s="28">
        <v>701</v>
      </c>
      <c r="G11" s="27" t="str">
        <f>VLOOKUP(H11,INVENTARIO!$1:$1048576,2,0)</f>
        <v>CEBRA</v>
      </c>
      <c r="H11" s="24">
        <v>702</v>
      </c>
      <c r="I11" s="25">
        <f>VLOOKUP(J11,INVENTARIO!$1:$1048576,2,0)</f>
        <v>664</v>
      </c>
      <c r="J11" s="29">
        <v>703</v>
      </c>
      <c r="K11" s="186"/>
      <c r="L11" s="25">
        <f>VLOOKUP(M11,INVENTARIO!$1:$1048576,2,0)</f>
        <v>664</v>
      </c>
      <c r="M11" s="24">
        <v>704</v>
      </c>
      <c r="N11" s="27" t="str">
        <f>VLOOKUP(O11,INVENTARIO!$1:$1048576,2,0)</f>
        <v>CEBRA</v>
      </c>
      <c r="O11" s="29">
        <v>705</v>
      </c>
      <c r="P11" s="30" t="str">
        <f>VLOOKUP(Q11,INVENTARIO!$1:$1048576,2,0)</f>
        <v>REVOLUCIÓN PLUS</v>
      </c>
      <c r="Q11" s="190">
        <v>706</v>
      </c>
      <c r="R11" s="191"/>
    </row>
    <row r="12" spans="4:18" ht="6" customHeight="1" thickBot="1">
      <c r="D12" s="35"/>
      <c r="E12" s="35"/>
      <c r="F12" s="34"/>
      <c r="G12" s="36"/>
      <c r="H12" s="32"/>
      <c r="I12" s="33"/>
      <c r="J12" s="34"/>
      <c r="K12" s="186"/>
      <c r="L12" s="35"/>
      <c r="M12" s="32"/>
      <c r="N12" s="31"/>
      <c r="O12" s="34"/>
      <c r="P12" s="35"/>
      <c r="Q12" s="34"/>
      <c r="R12" s="34"/>
    </row>
    <row r="13" spans="4:18" ht="18" customHeight="1" thickBot="1">
      <c r="D13" s="35"/>
      <c r="E13" s="178" t="str">
        <f>VLOOKUP(F15,INVENTARIO!$1:$1048576,15,0)</f>
        <v>VENDIDO</v>
      </c>
      <c r="F13" s="179"/>
      <c r="G13" s="178" t="str">
        <f>VLOOKUP(H15,INVENTARIO!$1:$1048576,15,0)</f>
        <v>VENDIDO</v>
      </c>
      <c r="H13" s="179"/>
      <c r="I13" s="178" t="str">
        <f>VLOOKUP(J15,INVENTARIO!$1:$1048576,15,0)</f>
        <v>VENDIDO</v>
      </c>
      <c r="J13" s="179"/>
      <c r="K13" s="186"/>
      <c r="L13" s="178" t="str">
        <f>VLOOKUP(M15,INVENTARIO!$1:$1048576,15,0)</f>
        <v>VENDIDO</v>
      </c>
      <c r="M13" s="179"/>
      <c r="N13" s="178" t="str">
        <f>VLOOKUP(O15,INVENTARIO!$1:$1048576,15,0)</f>
        <v>VENDIDO</v>
      </c>
      <c r="O13" s="179"/>
      <c r="P13" s="178" t="str">
        <f>VLOOKUP(Q15,INVENTARIO!$1:$1048576,15,0)</f>
        <v>VENDIDO</v>
      </c>
      <c r="Q13" s="179"/>
      <c r="R13" s="181" t="s">
        <v>56</v>
      </c>
    </row>
    <row r="14" spans="4:18" ht="16.149999999999999" customHeight="1">
      <c r="E14" s="175" t="str">
        <f>IF(E13="disponible",VLOOKUP(F15,INVENTARIO!$1:$1048576,13,0), "")</f>
        <v/>
      </c>
      <c r="F14" s="176"/>
      <c r="G14" s="175" t="str">
        <f>IF(G13="disponible",VLOOKUP(H15,INVENTARIO!$1:$1048576,13,0), "")</f>
        <v/>
      </c>
      <c r="H14" s="176"/>
      <c r="I14" s="175" t="str">
        <f>IF(I13="disponible",VLOOKUP(J15,INVENTARIO!$1:$1048576,13,0), "")</f>
        <v/>
      </c>
      <c r="J14" s="176"/>
      <c r="K14" s="186"/>
      <c r="L14" s="175" t="str">
        <f>IF(L13="disponible",VLOOKUP(M15,INVENTARIO!$1:$1048576,13,0), "")</f>
        <v/>
      </c>
      <c r="M14" s="176"/>
      <c r="N14" s="175" t="str">
        <f>IF(N13="disponible",VLOOKUP(O15,INVENTARIO!$1:$1048576,13,0), "")</f>
        <v/>
      </c>
      <c r="O14" s="176"/>
      <c r="P14" s="175" t="str">
        <f>IF(P13="disponible",VLOOKUP(Q15,INVENTARIO!$1:$1048576,13,0), "")</f>
        <v/>
      </c>
      <c r="Q14" s="176"/>
      <c r="R14" s="181"/>
    </row>
    <row r="15" spans="4:18" ht="15.75" thickBot="1">
      <c r="E15" s="37" t="str">
        <f>VLOOKUP(F15,INVENTARIO!$1:$1048576,2,0)</f>
        <v>REVOLUCIÓN</v>
      </c>
      <c r="F15" s="28">
        <v>601</v>
      </c>
      <c r="G15" s="27" t="str">
        <f>VLOOKUP(H15,INVENTARIO!$1:$1048576,2,0)</f>
        <v>CEBRA</v>
      </c>
      <c r="H15" s="24">
        <v>602</v>
      </c>
      <c r="I15" s="25">
        <f>VLOOKUP(J15,INVENTARIO!$1:$1048576,2,0)</f>
        <v>664</v>
      </c>
      <c r="J15" s="29">
        <v>603</v>
      </c>
      <c r="K15" s="186"/>
      <c r="L15" s="25">
        <f>VLOOKUP(M15,INVENTARIO!$1:$1048576,2,0)</f>
        <v>664</v>
      </c>
      <c r="M15" s="24">
        <v>604</v>
      </c>
      <c r="N15" s="27" t="str">
        <f>VLOOKUP(O15,INVENTARIO!$1:$1048576,2,0)</f>
        <v>CEBRA</v>
      </c>
      <c r="O15" s="29">
        <v>605</v>
      </c>
      <c r="P15" s="37" t="str">
        <f>VLOOKUP(Q15,INVENTARIO!$1:$1048576,2,0)</f>
        <v>REVOLUCIÓN</v>
      </c>
      <c r="Q15" s="28">
        <v>606</v>
      </c>
      <c r="R15" s="181"/>
    </row>
    <row r="16" spans="4:18" ht="6" customHeight="1" thickBot="1">
      <c r="E16" s="31"/>
      <c r="F16" s="32"/>
      <c r="G16" s="31"/>
      <c r="H16" s="32"/>
      <c r="I16" s="33"/>
      <c r="J16" s="34"/>
      <c r="K16" s="186"/>
      <c r="L16" s="35"/>
      <c r="M16" s="32"/>
      <c r="N16" s="31"/>
      <c r="O16" s="32"/>
      <c r="P16" s="31"/>
      <c r="Q16" s="32"/>
      <c r="R16" s="181"/>
    </row>
    <row r="17" spans="5:18" ht="18" customHeight="1" thickBot="1">
      <c r="E17" s="178" t="str">
        <f>VLOOKUP(F19,INVENTARIO!$1:$1048576,15,0)</f>
        <v>VENDIDO</v>
      </c>
      <c r="F17" s="179"/>
      <c r="G17" s="178" t="str">
        <f>VLOOKUP(H19,INVENTARIO!$1:$1048576,15,0)</f>
        <v>VENDIDO</v>
      </c>
      <c r="H17" s="179"/>
      <c r="I17" s="178" t="str">
        <f>VLOOKUP(J19,INVENTARIO!$1:$1048576,15,0)</f>
        <v>VENDIDO</v>
      </c>
      <c r="J17" s="179"/>
      <c r="K17" s="186"/>
      <c r="L17" s="178" t="str">
        <f>VLOOKUP(M19,INVENTARIO!$1:$1048576,15,0)</f>
        <v>VENDIDO</v>
      </c>
      <c r="M17" s="179"/>
      <c r="N17" s="178" t="str">
        <f>VLOOKUP(O19,INVENTARIO!$1:$1048576,15,0)</f>
        <v>VENDIDO</v>
      </c>
      <c r="O17" s="179"/>
      <c r="P17" s="178" t="str">
        <f>VLOOKUP(Q19,INVENTARIO!$1:$1048576,15,0)</f>
        <v>VENDIDO</v>
      </c>
      <c r="Q17" s="179"/>
      <c r="R17" s="181"/>
    </row>
    <row r="18" spans="5:18">
      <c r="E18" s="175" t="str">
        <f>IF(E17="disponible",VLOOKUP(F19,INVENTARIO!$1:$1048576,13,0), "")</f>
        <v/>
      </c>
      <c r="F18" s="176"/>
      <c r="G18" s="175" t="str">
        <f>IF(G17="disponible",VLOOKUP(H19,INVENTARIO!$1:$1048576,13,0), "")</f>
        <v/>
      </c>
      <c r="H18" s="176"/>
      <c r="I18" s="175" t="str">
        <f>IF(I17="disponible",VLOOKUP(J19,INVENTARIO!$1:$1048576,13,0), "")</f>
        <v/>
      </c>
      <c r="J18" s="176"/>
      <c r="K18" s="186"/>
      <c r="L18" s="175" t="str">
        <f>IF(L17="disponible",VLOOKUP(M19,INVENTARIO!$1:$1048576,13,0), "")</f>
        <v/>
      </c>
      <c r="M18" s="176"/>
      <c r="N18" s="175" t="str">
        <f>IF(N17="disponible",VLOOKUP(O19,INVENTARIO!$1:$1048576,13,0), "")</f>
        <v/>
      </c>
      <c r="O18" s="176"/>
      <c r="P18" s="175" t="str">
        <f>IF(P17="disponible",VLOOKUP(Q19,INVENTARIO!$1:$1048576,13,0), "")</f>
        <v/>
      </c>
      <c r="Q18" s="176"/>
      <c r="R18" s="181"/>
    </row>
    <row r="19" spans="5:18" ht="15.75" thickBot="1">
      <c r="E19" s="37" t="str">
        <f>VLOOKUP(F19,INVENTARIO!$1:$1048576,2,0)</f>
        <v>REVOLUCIÓN</v>
      </c>
      <c r="F19" s="28">
        <v>501</v>
      </c>
      <c r="G19" s="27" t="str">
        <f>VLOOKUP(H19,INVENTARIO!$1:$1048576,2,0)</f>
        <v>CEBRA</v>
      </c>
      <c r="H19" s="38">
        <v>502</v>
      </c>
      <c r="I19" s="25">
        <f>VLOOKUP(J19,INVENTARIO!$1:$1048576,2,0)</f>
        <v>664</v>
      </c>
      <c r="J19" s="28">
        <v>503</v>
      </c>
      <c r="K19" s="186"/>
      <c r="L19" s="25">
        <f>VLOOKUP(M19,INVENTARIO!$1:$1048576,2,0)</f>
        <v>664</v>
      </c>
      <c r="M19" s="38">
        <v>504</v>
      </c>
      <c r="N19" s="27" t="str">
        <f>VLOOKUP(O19,INVENTARIO!$1:$1048576,2,0)</f>
        <v>CEBRA</v>
      </c>
      <c r="O19" s="38">
        <v>505</v>
      </c>
      <c r="P19" s="37" t="str">
        <f>VLOOKUP(Q19,INVENTARIO!$1:$1048576,2,0)</f>
        <v>REVOLUCIÓN</v>
      </c>
      <c r="Q19" s="28">
        <v>506</v>
      </c>
      <c r="R19" s="181"/>
    </row>
    <row r="20" spans="5:18" ht="6" customHeight="1" thickBot="1">
      <c r="E20" s="31"/>
      <c r="F20" s="32"/>
      <c r="G20" s="31"/>
      <c r="H20" s="32"/>
      <c r="I20" s="33"/>
      <c r="J20" s="34"/>
      <c r="K20" s="186"/>
      <c r="L20" s="35"/>
      <c r="M20" s="32"/>
      <c r="N20" s="31"/>
      <c r="O20" s="32"/>
      <c r="P20" s="31"/>
      <c r="Q20" s="32"/>
      <c r="R20" s="181"/>
    </row>
    <row r="21" spans="5:18" ht="18" customHeight="1" thickBot="1">
      <c r="E21" s="178" t="str">
        <f>VLOOKUP(F23,INVENTARIO!$1:$1048576,15,0)</f>
        <v>VENDIDO</v>
      </c>
      <c r="F21" s="179"/>
      <c r="G21" s="178" t="str">
        <f>VLOOKUP(H23,INVENTARIO!$1:$1048576,15,0)</f>
        <v>VENDIDO</v>
      </c>
      <c r="H21" s="179"/>
      <c r="I21" s="178" t="str">
        <f>VLOOKUP(J23,INVENTARIO!$1:$1048576,15,0)</f>
        <v>DISPONIBLE</v>
      </c>
      <c r="J21" s="179"/>
      <c r="K21" s="186"/>
      <c r="L21" s="178" t="str">
        <f>VLOOKUP(M23,INVENTARIO!$1:$1048576,15,0)</f>
        <v>DISPONIBLE</v>
      </c>
      <c r="M21" s="179"/>
      <c r="N21" s="178" t="str">
        <f>VLOOKUP(O23,INVENTARIO!$1:$1048576,15,0)</f>
        <v>VENDIDO</v>
      </c>
      <c r="O21" s="179"/>
      <c r="P21" s="178" t="str">
        <f>VLOOKUP(Q23,INVENTARIO!$1:$1048576,15,0)</f>
        <v>VENDIDO</v>
      </c>
      <c r="Q21" s="179"/>
      <c r="R21" s="181"/>
    </row>
    <row r="22" spans="5:18">
      <c r="E22" s="175" t="str">
        <f>IF(E21="disponible",VLOOKUP(F23,INVENTARIO!$1:$1048576,13,0), "")</f>
        <v/>
      </c>
      <c r="F22" s="176"/>
      <c r="G22" s="175" t="str">
        <f>IF(G21="disponible",VLOOKUP(H23,INVENTARIO!$1:$1048576,13,0), "")</f>
        <v/>
      </c>
      <c r="H22" s="176"/>
      <c r="I22" s="175">
        <f>IF(I21="disponible",VLOOKUP(J23,INVENTARIO!$1:$1048576,13,0), "")</f>
        <v>246700</v>
      </c>
      <c r="J22" s="176"/>
      <c r="K22" s="186"/>
      <c r="L22" s="175">
        <f>IF(L21="disponible",VLOOKUP(M23,INVENTARIO!$1:$1048576,13,0), "")</f>
        <v>246700</v>
      </c>
      <c r="M22" s="176"/>
      <c r="N22" s="175" t="str">
        <f>IF(N21="disponible",VLOOKUP(O23,INVENTARIO!$1:$1048576,13,0), "")</f>
        <v/>
      </c>
      <c r="O22" s="176"/>
      <c r="P22" s="175" t="str">
        <f>IF(P21="disponible",VLOOKUP(Q23,INVENTARIO!$1:$1048576,13,0), "")</f>
        <v/>
      </c>
      <c r="Q22" s="176"/>
      <c r="R22" s="181"/>
    </row>
    <row r="23" spans="5:18" ht="15.75" thickBot="1">
      <c r="E23" s="37" t="str">
        <f>VLOOKUP(F23,INVENTARIO!$1:$1048576,2,0)</f>
        <v>REVOLUCIÓN</v>
      </c>
      <c r="F23" s="24">
        <v>401</v>
      </c>
      <c r="G23" s="27" t="str">
        <f>VLOOKUP(H23,INVENTARIO!$1:$1048576,2,0)</f>
        <v>CEBRA</v>
      </c>
      <c r="H23" s="24">
        <v>402</v>
      </c>
      <c r="I23" s="25">
        <f>VLOOKUP(J23,INVENTARIO!$1:$1048576,2,0)</f>
        <v>664</v>
      </c>
      <c r="J23" s="29">
        <v>403</v>
      </c>
      <c r="K23" s="186"/>
      <c r="L23" s="25">
        <f>VLOOKUP(M23,INVENTARIO!$1:$1048576,2,0)</f>
        <v>664</v>
      </c>
      <c r="M23" s="24">
        <v>404</v>
      </c>
      <c r="N23" s="27" t="str">
        <f>VLOOKUP(O23,INVENTARIO!$1:$1048576,2,0)</f>
        <v>CEBRA</v>
      </c>
      <c r="O23" s="24">
        <v>405</v>
      </c>
      <c r="P23" s="37" t="str">
        <f>VLOOKUP(Q23,INVENTARIO!$1:$1048576,2,0)</f>
        <v>REVOLUCIÓN</v>
      </c>
      <c r="Q23" s="24">
        <v>406</v>
      </c>
      <c r="R23" s="181"/>
    </row>
    <row r="24" spans="5:18" ht="6" customHeight="1" thickBot="1">
      <c r="E24" s="31"/>
      <c r="F24" s="32"/>
      <c r="G24" s="31"/>
      <c r="H24" s="32"/>
      <c r="I24" s="33"/>
      <c r="J24" s="34"/>
      <c r="K24" s="186"/>
      <c r="L24" s="35"/>
      <c r="M24" s="32"/>
      <c r="N24" s="31"/>
      <c r="O24" s="32"/>
      <c r="P24" s="31"/>
      <c r="Q24" s="32"/>
      <c r="R24" s="181"/>
    </row>
    <row r="25" spans="5:18" ht="18" customHeight="1" thickBot="1">
      <c r="E25" s="178" t="str">
        <f>VLOOKUP(F27,INVENTARIO!$1:$1048576,15,0)</f>
        <v>DISPONIBLE</v>
      </c>
      <c r="F25" s="179"/>
      <c r="G25" s="178" t="str">
        <f>VLOOKUP(H27,INVENTARIO!$1:$1048576,15,0)</f>
        <v>VENDIDO</v>
      </c>
      <c r="H25" s="179"/>
      <c r="I25" s="178" t="str">
        <f>VLOOKUP(J27,INVENTARIO!$1:$1048576,15,0)</f>
        <v>DISPONIBLE</v>
      </c>
      <c r="J25" s="179"/>
      <c r="K25" s="186"/>
      <c r="L25" s="178" t="str">
        <f>VLOOKUP(M27,INVENTARIO!$1:$1048576,15,0)</f>
        <v>DISPONIBLE</v>
      </c>
      <c r="M25" s="179"/>
      <c r="N25" s="178" t="str">
        <f>VLOOKUP(O27,INVENTARIO!$1:$1048576,15,0)</f>
        <v>VENDIDO</v>
      </c>
      <c r="O25" s="179"/>
      <c r="P25" s="178" t="str">
        <f>VLOOKUP(Q27,INVENTARIO!$1:$1048576,15,0)</f>
        <v>DISPONIBLE</v>
      </c>
      <c r="Q25" s="179"/>
      <c r="R25" s="181"/>
    </row>
    <row r="26" spans="5:18" ht="16.149999999999999" customHeight="1">
      <c r="E26" s="175">
        <f>IF(E25="disponible",VLOOKUP(F27,INVENTARIO!$1:$1048576,13,0), "")</f>
        <v>256400</v>
      </c>
      <c r="F26" s="176"/>
      <c r="G26" s="175" t="str">
        <f>IF(G25="disponible",VLOOKUP(H27,INVENTARIO!$1:$1048576,13,0), "")</f>
        <v/>
      </c>
      <c r="H26" s="176"/>
      <c r="I26" s="175">
        <f>IF(I25="disponible",VLOOKUP(J27,INVENTARIO!$1:$1048576,13,0), "")</f>
        <v>246700</v>
      </c>
      <c r="J26" s="176"/>
      <c r="K26" s="186"/>
      <c r="L26" s="175">
        <f>IF(L25="disponible",VLOOKUP(M27,INVENTARIO!$1:$1048576,13,0), "")</f>
        <v>246700</v>
      </c>
      <c r="M26" s="176"/>
      <c r="N26" s="175" t="str">
        <f>IF(N25="disponible",VLOOKUP(O27,INVENTARIO!$1:$1048576,13,0), "")</f>
        <v/>
      </c>
      <c r="O26" s="176"/>
      <c r="P26" s="175">
        <f>IF(P25="disponible",VLOOKUP(Q27,INVENTARIO!$1:$1048576,13,0), "")</f>
        <v>256400</v>
      </c>
      <c r="Q26" s="176"/>
      <c r="R26" s="181"/>
    </row>
    <row r="27" spans="5:18" ht="15.75" thickBot="1">
      <c r="E27" s="37" t="str">
        <f>VLOOKUP(F27,INVENTARIO!$1:$1048576,2,0)</f>
        <v>REVOLUCIÓN</v>
      </c>
      <c r="F27" s="28">
        <v>301</v>
      </c>
      <c r="G27" s="27" t="str">
        <f>VLOOKUP(H27,INVENTARIO!$1:$1048576,2,0)</f>
        <v>CEBRA</v>
      </c>
      <c r="H27" s="38">
        <v>302</v>
      </c>
      <c r="I27" s="25">
        <f>VLOOKUP(J27,INVENTARIO!$1:$1048576,2,0)</f>
        <v>664</v>
      </c>
      <c r="J27" s="28">
        <v>303</v>
      </c>
      <c r="K27" s="186"/>
      <c r="L27" s="25">
        <f>VLOOKUP(M27,INVENTARIO!$1:$1048576,2,0)</f>
        <v>664</v>
      </c>
      <c r="M27" s="38">
        <v>304</v>
      </c>
      <c r="N27" s="27" t="str">
        <f>VLOOKUP(O27,INVENTARIO!$1:$1048576,2,0)</f>
        <v>CEBRA</v>
      </c>
      <c r="O27" s="38">
        <v>305</v>
      </c>
      <c r="P27" s="37" t="str">
        <f>VLOOKUP(Q27,INVENTARIO!$1:$1048576,2,0)</f>
        <v>REVOLUCIÓN</v>
      </c>
      <c r="Q27" s="28">
        <v>306</v>
      </c>
      <c r="R27" s="181"/>
    </row>
    <row r="28" spans="5:18" ht="6" customHeight="1" thickBot="1">
      <c r="E28" s="31"/>
      <c r="F28" s="32"/>
      <c r="G28" s="31"/>
      <c r="H28" s="32"/>
      <c r="I28" s="33"/>
      <c r="J28" s="34"/>
      <c r="K28" s="186"/>
      <c r="L28" s="35"/>
      <c r="M28" s="32"/>
      <c r="N28" s="31"/>
      <c r="O28" s="32"/>
      <c r="P28" s="31"/>
      <c r="Q28" s="32"/>
      <c r="R28" s="181"/>
    </row>
    <row r="29" spans="5:18" ht="18" customHeight="1" thickBot="1">
      <c r="E29" s="178" t="str">
        <f>VLOOKUP(F31,INVENTARIO!$1:$1048576,15,0)</f>
        <v>VENDIDO</v>
      </c>
      <c r="F29" s="179"/>
      <c r="G29" s="178" t="str">
        <f>VLOOKUP(H31,INVENTARIO!$1:$1048576,15,0)</f>
        <v>VENDIDO</v>
      </c>
      <c r="H29" s="179"/>
      <c r="I29" s="178" t="str">
        <f>VLOOKUP(J31,INVENTARIO!$1:$1048576,15,0)</f>
        <v>VENDIDO</v>
      </c>
      <c r="J29" s="179"/>
      <c r="K29" s="186"/>
      <c r="L29" s="178" t="str">
        <f>VLOOKUP(M31,INVENTARIO!$1:$1048576,15,0)</f>
        <v>VENDIDO</v>
      </c>
      <c r="M29" s="179"/>
      <c r="N29" s="178" t="str">
        <f>VLOOKUP(O31,INVENTARIO!$1:$1048576,15,0)</f>
        <v>VENDIDO</v>
      </c>
      <c r="O29" s="179"/>
      <c r="P29" s="178" t="str">
        <f>VLOOKUP(Q31,INVENTARIO!$1:$1048576,15,0)</f>
        <v>DISPONIBLE</v>
      </c>
      <c r="Q29" s="179"/>
      <c r="R29" s="181"/>
    </row>
    <row r="30" spans="5:18">
      <c r="E30" s="175" t="str">
        <f>IF(E29="disponible",VLOOKUP(F31,INVENTARIO!$1:$1048576,13,0), "")</f>
        <v/>
      </c>
      <c r="F30" s="176"/>
      <c r="G30" s="175" t="str">
        <f>IF(G29="disponible",VLOOKUP(H31,INVENTARIO!$1:$1048576,13,0), "")</f>
        <v/>
      </c>
      <c r="H30" s="176"/>
      <c r="I30" s="175" t="str">
        <f>IF(I29="disponible",VLOOKUP(J31,INVENTARIO!$1:$1048576,13,0), "")</f>
        <v/>
      </c>
      <c r="J30" s="176"/>
      <c r="K30" s="186"/>
      <c r="L30" s="175" t="str">
        <f>IF(L29="disponible",VLOOKUP(M31,INVENTARIO!$1:$1048576,13,0), "")</f>
        <v/>
      </c>
      <c r="M30" s="176"/>
      <c r="N30" s="175" t="str">
        <f>IF(N29="disponible",VLOOKUP(O31,INVENTARIO!$1:$1048576,13,0), "")</f>
        <v/>
      </c>
      <c r="O30" s="176"/>
      <c r="P30" s="175">
        <f>IF(P29="disponible",VLOOKUP(Q31,INVENTARIO!$1:$1048576,13,0), "")</f>
        <v>256400</v>
      </c>
      <c r="Q30" s="176"/>
      <c r="R30" s="181"/>
    </row>
    <row r="31" spans="5:18" ht="15.75" thickBot="1">
      <c r="E31" s="37" t="str">
        <f>VLOOKUP(F31,INVENTARIO!$1:$1048576,2,0)</f>
        <v>REVOLUCIÓN</v>
      </c>
      <c r="F31" s="28">
        <v>201</v>
      </c>
      <c r="G31" s="27" t="str">
        <f>VLOOKUP(H31,INVENTARIO!$1:$1048576,2,0)</f>
        <v>CEBRA</v>
      </c>
      <c r="H31" s="38">
        <v>202</v>
      </c>
      <c r="I31" s="25">
        <f>VLOOKUP(J31,INVENTARIO!$1:$1048576,2,0)</f>
        <v>664</v>
      </c>
      <c r="J31" s="28">
        <v>203</v>
      </c>
      <c r="K31" s="186"/>
      <c r="L31" s="25">
        <f>VLOOKUP(M31,INVENTARIO!$1:$1048576,2,0)</f>
        <v>664</v>
      </c>
      <c r="M31" s="38">
        <v>204</v>
      </c>
      <c r="N31" s="27" t="str">
        <f>VLOOKUP(O31,INVENTARIO!$1:$1048576,2,0)</f>
        <v>CEBRA</v>
      </c>
      <c r="O31" s="38">
        <v>205</v>
      </c>
      <c r="P31" s="37" t="str">
        <f>VLOOKUP(Q31,INVENTARIO!$1:$1048576,2,0)</f>
        <v>REVOLUCIÓN</v>
      </c>
      <c r="Q31" s="28">
        <v>206</v>
      </c>
      <c r="R31" s="181"/>
    </row>
    <row r="32" spans="5:18" ht="6" customHeight="1" thickBot="1">
      <c r="E32" s="31"/>
      <c r="F32" s="32"/>
      <c r="G32" s="31"/>
      <c r="H32" s="32"/>
      <c r="I32" s="33"/>
      <c r="J32" s="34"/>
      <c r="K32" s="186"/>
      <c r="L32" s="35"/>
      <c r="M32" s="32"/>
      <c r="N32" s="31"/>
      <c r="O32" s="32"/>
      <c r="P32" s="31"/>
      <c r="Q32" s="32"/>
      <c r="R32" s="181"/>
    </row>
    <row r="33" spans="5:18" ht="18" customHeight="1" thickBot="1">
      <c r="E33" s="178" t="str">
        <f>VLOOKUP(F35,INVENTARIO!$1:$1048576,15,0)</f>
        <v>VENDIDO</v>
      </c>
      <c r="F33" s="179"/>
      <c r="G33" s="178" t="str">
        <f>VLOOKUP(H35,INVENTARIO!$1:$1048576,15,0)</f>
        <v>VENDIDO</v>
      </c>
      <c r="H33" s="179"/>
      <c r="I33" s="178" t="str">
        <f>VLOOKUP(J35,INVENTARIO!$1:$1048576,15,0)</f>
        <v>VENDIDO</v>
      </c>
      <c r="J33" s="179"/>
      <c r="K33" s="186"/>
      <c r="L33" s="178" t="str">
        <f>VLOOKUP(M35,INVENTARIO!$1:$1048576,15,0)</f>
        <v>VENDIDO</v>
      </c>
      <c r="M33" s="179"/>
      <c r="N33" s="178" t="str">
        <f>VLOOKUP(O35,INVENTARIO!$1:$1048576,15,0)</f>
        <v>VENDIDO</v>
      </c>
      <c r="O33" s="179"/>
      <c r="P33" s="178" t="str">
        <f>VLOOKUP(Q35,INVENTARIO!$1:$1048576,15,0)</f>
        <v>DISPONIBLE</v>
      </c>
      <c r="Q33" s="179"/>
      <c r="R33" s="181"/>
    </row>
    <row r="34" spans="5:18">
      <c r="E34" s="175" t="str">
        <f>IF(E33="disponible",VLOOKUP(F35,INVENTARIO!$1:$1048576,13,0), "")</f>
        <v/>
      </c>
      <c r="F34" s="176"/>
      <c r="G34" s="175" t="str">
        <f>IF(G33="disponible",VLOOKUP(H35,INVENTARIO!$1:$1048576,13,0), "")</f>
        <v/>
      </c>
      <c r="H34" s="176"/>
      <c r="I34" s="175" t="str">
        <f>IF(I33="disponible",VLOOKUP(J35,INVENTARIO!$1:$1048576,13,0), "")</f>
        <v/>
      </c>
      <c r="J34" s="176"/>
      <c r="K34" s="186"/>
      <c r="L34" s="175" t="str">
        <f>IF(L33="disponible",VLOOKUP(M35,INVENTARIO!$1:$1048576,13,0), "")</f>
        <v/>
      </c>
      <c r="M34" s="176"/>
      <c r="N34" s="175" t="str">
        <f>IF(N33="disponible",VLOOKUP(O35,INVENTARIO!$1:$1048576,13,0), "")</f>
        <v/>
      </c>
      <c r="O34" s="176"/>
      <c r="P34" s="175">
        <f>IF(P33="disponible",VLOOKUP(Q35,INVENTARIO!$1:$1048576,13,0), "")</f>
        <v>254400</v>
      </c>
      <c r="Q34" s="176"/>
      <c r="R34" s="181"/>
    </row>
    <row r="35" spans="5:18" ht="15.75" thickBot="1">
      <c r="E35" s="37" t="str">
        <f>VLOOKUP(F35,INVENTARIO!$1:$1048576,2,0)</f>
        <v>REVOLUCIÓN</v>
      </c>
      <c r="F35" s="28">
        <v>101</v>
      </c>
      <c r="G35" s="27" t="str">
        <f>VLOOKUP(H35,INVENTARIO!$1:$1048576,2,0)</f>
        <v>CEBRA</v>
      </c>
      <c r="H35" s="38">
        <v>102</v>
      </c>
      <c r="I35" s="25">
        <f>VLOOKUP(J35,INVENTARIO!$1:$1048576,2,0)</f>
        <v>664</v>
      </c>
      <c r="J35" s="28">
        <v>103</v>
      </c>
      <c r="K35" s="187"/>
      <c r="L35" s="25">
        <f>VLOOKUP(M35,INVENTARIO!$1:$1048576,2,0)</f>
        <v>664</v>
      </c>
      <c r="M35" s="38">
        <v>104</v>
      </c>
      <c r="N35" s="27" t="str">
        <f>VLOOKUP(O35,INVENTARIO!$1:$1048576,2,0)</f>
        <v>CEBRA</v>
      </c>
      <c r="O35" s="38">
        <v>105</v>
      </c>
      <c r="P35" s="37" t="str">
        <f>VLOOKUP(Q35,INVENTARIO!$1:$1048576,2,0)</f>
        <v>REVOLUCIÓN</v>
      </c>
      <c r="Q35" s="28">
        <v>106</v>
      </c>
      <c r="R35" s="181"/>
    </row>
    <row r="36" spans="5:18">
      <c r="E36" s="1" t="s">
        <v>5</v>
      </c>
      <c r="G36" s="1" t="s">
        <v>7</v>
      </c>
      <c r="I36" s="1" t="s">
        <v>5</v>
      </c>
      <c r="L36" s="1" t="s">
        <v>5</v>
      </c>
      <c r="N36" s="1" t="s">
        <v>7</v>
      </c>
      <c r="P36" s="26" t="s">
        <v>5</v>
      </c>
    </row>
    <row r="38" spans="5:18">
      <c r="E38" s="182" t="s">
        <v>14</v>
      </c>
      <c r="F38" s="183"/>
      <c r="G38" s="184" t="s">
        <v>4</v>
      </c>
      <c r="H38" s="184"/>
      <c r="I38" s="184"/>
      <c r="J38" s="184"/>
      <c r="K38" s="184"/>
      <c r="L38" s="184"/>
      <c r="M38" s="184"/>
      <c r="N38" s="184"/>
      <c r="O38" s="184"/>
      <c r="P38" s="184" t="s">
        <v>55</v>
      </c>
      <c r="Q38" s="184"/>
    </row>
  </sheetData>
  <sheetProtection algorithmName="SHA-512" hashValue="LFYan8d2E+fcnZJUBS7tpb8p4dNt62pi6Pq5pw8PKEKM0WjpdZ2xbUPpFkdF+6z5HMbiPpPqWBQJ722x0J5UJA==" saltValue="vaP47Lleq/4PMBstCFAH8Q==" spinCount="100000" sheet="1" objects="1" scenarios="1"/>
  <mergeCells count="91">
    <mergeCell ref="G17:H17"/>
    <mergeCell ref="I17:J17"/>
    <mergeCell ref="E29:F29"/>
    <mergeCell ref="E25:F25"/>
    <mergeCell ref="G25:H25"/>
    <mergeCell ref="I25:J25"/>
    <mergeCell ref="E22:F22"/>
    <mergeCell ref="E18:F18"/>
    <mergeCell ref="G18:H18"/>
    <mergeCell ref="I18:J18"/>
    <mergeCell ref="G22:H22"/>
    <mergeCell ref="E21:F21"/>
    <mergeCell ref="G21:H21"/>
    <mergeCell ref="I21:J21"/>
    <mergeCell ref="I22:J22"/>
    <mergeCell ref="E38:F38"/>
    <mergeCell ref="P38:Q38"/>
    <mergeCell ref="G38:O38"/>
    <mergeCell ref="E33:F33"/>
    <mergeCell ref="G33:H33"/>
    <mergeCell ref="I33:J33"/>
    <mergeCell ref="L33:M33"/>
    <mergeCell ref="K10:K35"/>
    <mergeCell ref="D11:E11"/>
    <mergeCell ref="Q11:R11"/>
    <mergeCell ref="N33:O33"/>
    <mergeCell ref="P33:Q33"/>
    <mergeCell ref="E17:F17"/>
    <mergeCell ref="N29:O29"/>
    <mergeCell ref="P29:Q29"/>
    <mergeCell ref="N21:O21"/>
    <mergeCell ref="L9:M9"/>
    <mergeCell ref="N9:O9"/>
    <mergeCell ref="P9:R9"/>
    <mergeCell ref="E13:F13"/>
    <mergeCell ref="G13:H13"/>
    <mergeCell ref="I13:J13"/>
    <mergeCell ref="G9:H9"/>
    <mergeCell ref="I9:J9"/>
    <mergeCell ref="D9:F9"/>
    <mergeCell ref="R13:R35"/>
    <mergeCell ref="E34:F34"/>
    <mergeCell ref="G34:H34"/>
    <mergeCell ref="I34:J34"/>
    <mergeCell ref="L34:M34"/>
    <mergeCell ref="N34:O34"/>
    <mergeCell ref="L21:M21"/>
    <mergeCell ref="P34:Q34"/>
    <mergeCell ref="P30:Q30"/>
    <mergeCell ref="N30:O30"/>
    <mergeCell ref="L30:M30"/>
    <mergeCell ref="I30:J30"/>
    <mergeCell ref="E30:F30"/>
    <mergeCell ref="E26:F26"/>
    <mergeCell ref="G26:H26"/>
    <mergeCell ref="I26:J26"/>
    <mergeCell ref="L26:M26"/>
    <mergeCell ref="G30:H30"/>
    <mergeCell ref="L29:M29"/>
    <mergeCell ref="G29:H29"/>
    <mergeCell ref="I29:J29"/>
    <mergeCell ref="P17:Q17"/>
    <mergeCell ref="P26:Q26"/>
    <mergeCell ref="P22:Q22"/>
    <mergeCell ref="N22:O22"/>
    <mergeCell ref="L22:M22"/>
    <mergeCell ref="P21:Q21"/>
    <mergeCell ref="P25:Q25"/>
    <mergeCell ref="L18:M18"/>
    <mergeCell ref="P18:Q18"/>
    <mergeCell ref="L25:M25"/>
    <mergeCell ref="N25:O25"/>
    <mergeCell ref="N18:O18"/>
    <mergeCell ref="L17:M17"/>
    <mergeCell ref="N17:O17"/>
    <mergeCell ref="N26:O26"/>
    <mergeCell ref="E14:F14"/>
    <mergeCell ref="D10:F10"/>
    <mergeCell ref="P10:R10"/>
    <mergeCell ref="N10:O10"/>
    <mergeCell ref="L10:M10"/>
    <mergeCell ref="G10:H10"/>
    <mergeCell ref="I10:J10"/>
    <mergeCell ref="G14:H14"/>
    <mergeCell ref="P13:Q13"/>
    <mergeCell ref="I14:J14"/>
    <mergeCell ref="L13:M13"/>
    <mergeCell ref="N13:O13"/>
    <mergeCell ref="P14:Q14"/>
    <mergeCell ref="N14:O14"/>
    <mergeCell ref="L14:M14"/>
  </mergeCells>
  <conditionalFormatting sqref="D9">
    <cfRule type="containsText" dxfId="272" priority="344" operator="containsText" text="VENDIDO">
      <formula>NOT(ISERROR(SEARCH("VENDIDO",D9)))</formula>
    </cfRule>
    <cfRule type="containsText" dxfId="271" priority="343" operator="containsText" text="DISPONIBLE">
      <formula>NOT(ISERROR(SEARCH("DISPONIBLE",D9)))</formula>
    </cfRule>
    <cfRule type="containsText" dxfId="270" priority="342" operator="containsText" text="RESERVADO">
      <formula>NOT(ISERROR(SEARCH("RESERVADO",D9)))</formula>
    </cfRule>
    <cfRule type="containsText" dxfId="269" priority="341" operator="containsText" text="bLOQUEADO">
      <formula>NOT(ISERROR(SEARCH("bLOQUEADO",D9)))</formula>
    </cfRule>
  </conditionalFormatting>
  <conditionalFormatting sqref="E13:J13">
    <cfRule type="containsText" dxfId="268" priority="1" operator="containsText" text="bLOQUEADO">
      <formula>NOT(ISERROR(SEARCH("bLOQUEADO",E13)))</formula>
    </cfRule>
    <cfRule type="containsText" dxfId="267" priority="2" operator="containsText" text="RESERVADO">
      <formula>NOT(ISERROR(SEARCH("RESERVADO",E13)))</formula>
    </cfRule>
    <cfRule type="containsText" dxfId="266" priority="3" operator="containsText" text="DISPONIBLE">
      <formula>NOT(ISERROR(SEARCH("DISPONIBLE",E13)))</formula>
    </cfRule>
    <cfRule type="containsText" dxfId="265" priority="4" operator="containsText" text="VENDIDO">
      <formula>NOT(ISERROR(SEARCH("VENDIDO",E13)))</formula>
    </cfRule>
  </conditionalFormatting>
  <conditionalFormatting sqref="E17:J17">
    <cfRule type="containsText" dxfId="264" priority="13" operator="containsText" text="bLOQUEADO">
      <formula>NOT(ISERROR(SEARCH("bLOQUEADO",E17)))</formula>
    </cfRule>
    <cfRule type="containsText" dxfId="263" priority="15" operator="containsText" text="DISPONIBLE">
      <formula>NOT(ISERROR(SEARCH("DISPONIBLE",E17)))</formula>
    </cfRule>
    <cfRule type="containsText" dxfId="262" priority="16" operator="containsText" text="VENDIDO">
      <formula>NOT(ISERROR(SEARCH("VENDIDO",E17)))</formula>
    </cfRule>
    <cfRule type="containsText" dxfId="261" priority="14" operator="containsText" text="RESERVADO">
      <formula>NOT(ISERROR(SEARCH("RESERVADO",E17)))</formula>
    </cfRule>
  </conditionalFormatting>
  <conditionalFormatting sqref="E21:J21">
    <cfRule type="containsText" dxfId="260" priority="25" operator="containsText" text="bLOQUEADO">
      <formula>NOT(ISERROR(SEARCH("bLOQUEADO",E21)))</formula>
    </cfRule>
    <cfRule type="containsText" dxfId="259" priority="28" operator="containsText" text="VENDIDO">
      <formula>NOT(ISERROR(SEARCH("VENDIDO",E21)))</formula>
    </cfRule>
    <cfRule type="containsText" dxfId="258" priority="26" operator="containsText" text="RESERVADO">
      <formula>NOT(ISERROR(SEARCH("RESERVADO",E21)))</formula>
    </cfRule>
    <cfRule type="containsText" dxfId="257" priority="27" operator="containsText" text="DISPONIBLE">
      <formula>NOT(ISERROR(SEARCH("DISPONIBLE",E21)))</formula>
    </cfRule>
  </conditionalFormatting>
  <conditionalFormatting sqref="E25:J25">
    <cfRule type="containsText" dxfId="256" priority="37" operator="containsText" text="bLOQUEADO">
      <formula>NOT(ISERROR(SEARCH("bLOQUEADO",E25)))</formula>
    </cfRule>
    <cfRule type="containsText" dxfId="255" priority="38" operator="containsText" text="RESERVADO">
      <formula>NOT(ISERROR(SEARCH("RESERVADO",E25)))</formula>
    </cfRule>
    <cfRule type="containsText" dxfId="254" priority="40" operator="containsText" text="VENDIDO">
      <formula>NOT(ISERROR(SEARCH("VENDIDO",E25)))</formula>
    </cfRule>
    <cfRule type="containsText" dxfId="253" priority="39" operator="containsText" text="DISPONIBLE">
      <formula>NOT(ISERROR(SEARCH("DISPONIBLE",E25)))</formula>
    </cfRule>
  </conditionalFormatting>
  <conditionalFormatting sqref="E29:J29">
    <cfRule type="containsText" dxfId="252" priority="52" operator="containsText" text="VENDIDO">
      <formula>NOT(ISERROR(SEARCH("VENDIDO",E29)))</formula>
    </cfRule>
    <cfRule type="containsText" dxfId="251" priority="49" operator="containsText" text="bLOQUEADO">
      <formula>NOT(ISERROR(SEARCH("bLOQUEADO",E29)))</formula>
    </cfRule>
    <cfRule type="containsText" dxfId="250" priority="51" operator="containsText" text="DISPONIBLE">
      <formula>NOT(ISERROR(SEARCH("DISPONIBLE",E29)))</formula>
    </cfRule>
    <cfRule type="containsText" dxfId="249" priority="50" operator="containsText" text="RESERVADO">
      <formula>NOT(ISERROR(SEARCH("RESERVADO",E29)))</formula>
    </cfRule>
  </conditionalFormatting>
  <conditionalFormatting sqref="E33:J33">
    <cfRule type="containsText" dxfId="248" priority="64" operator="containsText" text="VENDIDO">
      <formula>NOT(ISERROR(SEARCH("VENDIDO",E33)))</formula>
    </cfRule>
    <cfRule type="containsText" dxfId="247" priority="63" operator="containsText" text="DISPONIBLE">
      <formula>NOT(ISERROR(SEARCH("DISPONIBLE",E33)))</formula>
    </cfRule>
    <cfRule type="containsText" dxfId="246" priority="62" operator="containsText" text="RESERVADO">
      <formula>NOT(ISERROR(SEARCH("RESERVADO",E33)))</formula>
    </cfRule>
    <cfRule type="containsText" dxfId="245" priority="61" operator="containsText" text="bLOQUEADO">
      <formula>NOT(ISERROR(SEARCH("bLOQUEADO",E33)))</formula>
    </cfRule>
  </conditionalFormatting>
  <conditionalFormatting sqref="G9:J9">
    <cfRule type="containsText" dxfId="244" priority="153" operator="containsText" text="bLOQUEADO">
      <formula>NOT(ISERROR(SEARCH("bLOQUEADO",G9)))</formula>
    </cfRule>
    <cfRule type="containsText" dxfId="243" priority="154" operator="containsText" text="RESERVADO">
      <formula>NOT(ISERROR(SEARCH("RESERVADO",G9)))</formula>
    </cfRule>
    <cfRule type="containsText" dxfId="242" priority="155" operator="containsText" text="DISPONIBLE">
      <formula>NOT(ISERROR(SEARCH("DISPONIBLE",G9)))</formula>
    </cfRule>
    <cfRule type="containsText" dxfId="241" priority="156" operator="containsText" text="VENDIDO">
      <formula>NOT(ISERROR(SEARCH("VENDIDO",G9)))</formula>
    </cfRule>
  </conditionalFormatting>
  <conditionalFormatting sqref="L9:P9">
    <cfRule type="containsText" dxfId="240" priority="148" operator="containsText" text="VENDIDO">
      <formula>NOT(ISERROR(SEARCH("VENDIDO",L9)))</formula>
    </cfRule>
    <cfRule type="containsText" dxfId="239" priority="146" operator="containsText" text="RESERVADO">
      <formula>NOT(ISERROR(SEARCH("RESERVADO",L9)))</formula>
    </cfRule>
    <cfRule type="containsText" dxfId="238" priority="147" operator="containsText" text="DISPONIBLE">
      <formula>NOT(ISERROR(SEARCH("DISPONIBLE",L9)))</formula>
    </cfRule>
    <cfRule type="containsText" dxfId="237" priority="145" operator="containsText" text="bLOQUEADO">
      <formula>NOT(ISERROR(SEARCH("bLOQUEADO",L9)))</formula>
    </cfRule>
  </conditionalFormatting>
  <conditionalFormatting sqref="L13:Q13">
    <cfRule type="containsText" dxfId="236" priority="135" operator="containsText" text="DISPONIBLE">
      <formula>NOT(ISERROR(SEARCH("DISPONIBLE",L13)))</formula>
    </cfRule>
    <cfRule type="containsText" dxfId="235" priority="136" operator="containsText" text="VENDIDO">
      <formula>NOT(ISERROR(SEARCH("VENDIDO",L13)))</formula>
    </cfRule>
    <cfRule type="containsText" dxfId="234" priority="134" operator="containsText" text="RESERVADO">
      <formula>NOT(ISERROR(SEARCH("RESERVADO",L13)))</formula>
    </cfRule>
    <cfRule type="containsText" dxfId="233" priority="133" operator="containsText" text="bLOQUEADO">
      <formula>NOT(ISERROR(SEARCH("bLOQUEADO",L13)))</formula>
    </cfRule>
  </conditionalFormatting>
  <conditionalFormatting sqref="L17:Q17">
    <cfRule type="containsText" dxfId="232" priority="124" operator="containsText" text="VENDIDO">
      <formula>NOT(ISERROR(SEARCH("VENDIDO",L17)))</formula>
    </cfRule>
    <cfRule type="containsText" dxfId="231" priority="123" operator="containsText" text="DISPONIBLE">
      <formula>NOT(ISERROR(SEARCH("DISPONIBLE",L17)))</formula>
    </cfRule>
    <cfRule type="containsText" dxfId="230" priority="122" operator="containsText" text="RESERVADO">
      <formula>NOT(ISERROR(SEARCH("RESERVADO",L17)))</formula>
    </cfRule>
    <cfRule type="containsText" dxfId="229" priority="121" operator="containsText" text="bLOQUEADO">
      <formula>NOT(ISERROR(SEARCH("bLOQUEADO",L17)))</formula>
    </cfRule>
  </conditionalFormatting>
  <conditionalFormatting sqref="L21:Q21">
    <cfRule type="containsText" dxfId="228" priority="109" operator="containsText" text="bLOQUEADO">
      <formula>NOT(ISERROR(SEARCH("bLOQUEADO",L21)))</formula>
    </cfRule>
    <cfRule type="containsText" dxfId="227" priority="112" operator="containsText" text="VENDIDO">
      <formula>NOT(ISERROR(SEARCH("VENDIDO",L21)))</formula>
    </cfRule>
    <cfRule type="containsText" dxfId="226" priority="110" operator="containsText" text="RESERVADO">
      <formula>NOT(ISERROR(SEARCH("RESERVADO",L21)))</formula>
    </cfRule>
    <cfRule type="containsText" dxfId="225" priority="111" operator="containsText" text="DISPONIBLE">
      <formula>NOT(ISERROR(SEARCH("DISPONIBLE",L21)))</formula>
    </cfRule>
  </conditionalFormatting>
  <conditionalFormatting sqref="L25:Q25">
    <cfRule type="containsText" dxfId="224" priority="97" operator="containsText" text="bLOQUEADO">
      <formula>NOT(ISERROR(SEARCH("bLOQUEADO",L25)))</formula>
    </cfRule>
    <cfRule type="containsText" dxfId="223" priority="99" operator="containsText" text="DISPONIBLE">
      <formula>NOT(ISERROR(SEARCH("DISPONIBLE",L25)))</formula>
    </cfRule>
    <cfRule type="containsText" dxfId="222" priority="98" operator="containsText" text="RESERVADO">
      <formula>NOT(ISERROR(SEARCH("RESERVADO",L25)))</formula>
    </cfRule>
    <cfRule type="containsText" dxfId="221" priority="100" operator="containsText" text="VENDIDO">
      <formula>NOT(ISERROR(SEARCH("VENDIDO",L25)))</formula>
    </cfRule>
  </conditionalFormatting>
  <conditionalFormatting sqref="L29:Q29">
    <cfRule type="containsText" dxfId="220" priority="85" operator="containsText" text="bLOQUEADO">
      <formula>NOT(ISERROR(SEARCH("bLOQUEADO",L29)))</formula>
    </cfRule>
    <cfRule type="containsText" dxfId="219" priority="87" operator="containsText" text="DISPONIBLE">
      <formula>NOT(ISERROR(SEARCH("DISPONIBLE",L29)))</formula>
    </cfRule>
    <cfRule type="containsText" dxfId="218" priority="88" operator="containsText" text="VENDIDO">
      <formula>NOT(ISERROR(SEARCH("VENDIDO",L29)))</formula>
    </cfRule>
    <cfRule type="containsText" dxfId="217" priority="86" operator="containsText" text="RESERVADO">
      <formula>NOT(ISERROR(SEARCH("RESERVADO",L29)))</formula>
    </cfRule>
  </conditionalFormatting>
  <conditionalFormatting sqref="L33:Q33">
    <cfRule type="containsText" dxfId="216" priority="76" operator="containsText" text="VENDIDO">
      <formula>NOT(ISERROR(SEARCH("VENDIDO",L33)))</formula>
    </cfRule>
    <cfRule type="containsText" dxfId="215" priority="75" operator="containsText" text="DISPONIBLE">
      <formula>NOT(ISERROR(SEARCH("DISPONIBLE",L33)))</formula>
    </cfRule>
    <cfRule type="containsText" dxfId="214" priority="74" operator="containsText" text="RESERVADO">
      <formula>NOT(ISERROR(SEARCH("RESERVADO",L33)))</formula>
    </cfRule>
    <cfRule type="containsText" dxfId="213" priority="73" operator="containsText" text="bLOQUEADO">
      <formula>NOT(ISERROR(SEARCH("bLOQUEADO",L33)))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8:R43"/>
  <sheetViews>
    <sheetView showGridLines="0" topLeftCell="A5" zoomScale="85" zoomScaleNormal="125" workbookViewId="0">
      <selection activeCell="L15" sqref="L15"/>
    </sheetView>
  </sheetViews>
  <sheetFormatPr defaultColWidth="10.8515625" defaultRowHeight="15"/>
  <cols>
    <col min="3" max="3" width="15.1640625" customWidth="1"/>
    <col min="4" max="4" width="4.19140625" customWidth="1"/>
    <col min="5" max="5" width="16.64453125" bestFit="1" customWidth="1"/>
    <col min="6" max="6" width="11.46484375" bestFit="1" customWidth="1"/>
    <col min="7" max="7" width="13.6875" bestFit="1" customWidth="1"/>
    <col min="8" max="8" width="11.46484375" bestFit="1" customWidth="1"/>
    <col min="9" max="9" width="13.6875" bestFit="1" customWidth="1"/>
    <col min="10" max="10" width="11.46484375" bestFit="1" customWidth="1"/>
    <col min="11" max="11" width="7.2734375" customWidth="1"/>
    <col min="12" max="12" width="13.6875" bestFit="1" customWidth="1"/>
    <col min="13" max="13" width="11.46484375" bestFit="1" customWidth="1"/>
    <col min="14" max="14" width="13.6875" bestFit="1" customWidth="1"/>
    <col min="15" max="15" width="11.46484375" bestFit="1" customWidth="1"/>
    <col min="16" max="16" width="17.6328125" customWidth="1"/>
    <col min="17" max="17" width="11.46484375" bestFit="1" customWidth="1"/>
    <col min="18" max="18" width="3.69921875" customWidth="1"/>
  </cols>
  <sheetData>
    <row r="8" spans="4:18" ht="15.75" thickBot="1"/>
    <row r="9" spans="4:18" ht="18" customHeight="1" thickBot="1">
      <c r="D9" s="194" t="str">
        <f>VLOOKUP(F11,INVENTARIO!$1:$1048576,8,0)</f>
        <v>SEMI TECHADO</v>
      </c>
      <c r="E9" s="196"/>
      <c r="F9" s="195"/>
      <c r="G9" s="194" t="str">
        <f>VLOOKUP(H11,INVENTARIO!$1:$1048576,8,0)</f>
        <v>SEMI TECHADO</v>
      </c>
      <c r="H9" s="195"/>
      <c r="I9" s="196" t="str">
        <f>VLOOKUP(J11,INVENTARIO!$1:$1048576,8,0)</f>
        <v>SEMI TECHADO</v>
      </c>
      <c r="J9" s="195"/>
      <c r="L9" s="197" t="str">
        <f>VLOOKUP(M11,INVENTARIO!$1:$1048576,8,0)</f>
        <v>SEMI TECHADO</v>
      </c>
      <c r="M9" s="198"/>
      <c r="N9" s="199" t="str">
        <f>VLOOKUP(O11,INVENTARIO!$1:$1048576,8,0)</f>
        <v>SEMI TECHADO</v>
      </c>
      <c r="O9" s="198"/>
      <c r="P9" s="194" t="s">
        <v>71</v>
      </c>
      <c r="Q9" s="196"/>
      <c r="R9" s="195"/>
    </row>
    <row r="10" spans="4:18" ht="16.149999999999999" customHeight="1">
      <c r="D10" s="204" t="str">
        <f>VLOOKUP(F11,INVENTARIO!$1:$1048576,7,0)</f>
        <v>REGULAR</v>
      </c>
      <c r="E10" s="205"/>
      <c r="F10" s="51">
        <f>VLOOKUP(F11,INVENTARIO!$1:$1048576,6,0)</f>
        <v>2</v>
      </c>
      <c r="G10" s="54" t="str">
        <f>VLOOKUP(H11,INVENTARIO!$1:$1048576,7,0)</f>
        <v>COMPACTO</v>
      </c>
      <c r="H10" s="51">
        <f>VLOOKUP(H11,INVENTARIO!$1:$1048576,6,0)</f>
        <v>1</v>
      </c>
      <c r="I10" s="50" t="str">
        <f>VLOOKUP(J11,INVENTARIO!$1:$1048576,7,0)</f>
        <v>REGULAR</v>
      </c>
      <c r="J10" s="51">
        <f>VLOOKUP(J11,INVENTARIO!$1:$1048576,6,0)</f>
        <v>2</v>
      </c>
      <c r="K10" s="202" t="s">
        <v>54</v>
      </c>
      <c r="L10" s="48" t="str">
        <f>VLOOKUP(M11,INVENTARIO!$1:$1048576,7,0)</f>
        <v>REGULAR</v>
      </c>
      <c r="M10" s="51">
        <f>VLOOKUP(M11,INVENTARIO!$1:$1048576,6,0)</f>
        <v>2</v>
      </c>
      <c r="N10" s="54" t="str">
        <f>VLOOKUP(O11,INVENTARIO!$1:$1048576,7,0)</f>
        <v>COMPACTO</v>
      </c>
      <c r="O10" s="51">
        <f>VLOOKUP(O11,INVENTARIO!$1:$1048576,6,0)</f>
        <v>1</v>
      </c>
      <c r="P10" s="49" t="str">
        <f>VLOOKUP(F11,INVENTARIO!$1:$1048576,7,0)</f>
        <v>REGULAR</v>
      </c>
      <c r="Q10" s="206">
        <v>2</v>
      </c>
      <c r="R10" s="207"/>
    </row>
    <row r="11" spans="4:18" ht="15.75" thickBot="1">
      <c r="D11" s="200" t="str">
        <f>VLOOKUP(F11,INVENTARIO!$1:$1048576,2,0)</f>
        <v>REVOLUCIÓN PLUS</v>
      </c>
      <c r="E11" s="201"/>
      <c r="F11" s="53">
        <v>701</v>
      </c>
      <c r="G11" s="55" t="str">
        <f>VLOOKUP(H11,INVENTARIO!$1:$1048576,2,0)</f>
        <v>CEBRA</v>
      </c>
      <c r="H11" s="53">
        <v>702</v>
      </c>
      <c r="I11" s="52">
        <f>VLOOKUP(J11,INVENTARIO!$1:$1048576,2,0)</f>
        <v>664</v>
      </c>
      <c r="J11" s="53">
        <v>703</v>
      </c>
      <c r="K11" s="203"/>
      <c r="L11" s="25">
        <f>VLOOKUP(M11,INVENTARIO!$1:$1048576,2,0)</f>
        <v>664</v>
      </c>
      <c r="M11" s="24">
        <v>704</v>
      </c>
      <c r="N11" s="27" t="str">
        <f>VLOOKUP(O11,INVENTARIO!$1:$1048576,2,0)</f>
        <v>CEBRA</v>
      </c>
      <c r="O11" s="29">
        <v>705</v>
      </c>
      <c r="P11" s="30" t="str">
        <f>VLOOKUP(Q11,INVENTARIO!$1:$1048576,2,0)</f>
        <v>REVOLUCIÓN PLUS</v>
      </c>
      <c r="Q11" s="190">
        <v>706</v>
      </c>
      <c r="R11" s="191"/>
    </row>
    <row r="12" spans="4:18" ht="6" customHeight="1" thickBot="1">
      <c r="D12" s="35"/>
      <c r="E12" s="35"/>
      <c r="F12" s="34"/>
      <c r="G12" s="36"/>
      <c r="H12" s="32"/>
      <c r="I12" s="33"/>
      <c r="J12" s="34"/>
      <c r="K12" s="186"/>
      <c r="L12" s="35"/>
      <c r="M12" s="32"/>
      <c r="N12" s="31"/>
      <c r="O12" s="34"/>
      <c r="P12" s="35"/>
      <c r="Q12" s="34"/>
      <c r="R12" s="34"/>
    </row>
    <row r="13" spans="4:18" ht="18" customHeight="1" thickBot="1">
      <c r="D13" s="35"/>
      <c r="E13" s="194" t="str">
        <f>VLOOKUP(F15,INVENTARIO!$1:$1048576,8,0)</f>
        <v>SEMI TECHADO</v>
      </c>
      <c r="F13" s="195"/>
      <c r="G13" s="194" t="str">
        <f>VLOOKUP(H15,INVENTARIO!$1:$1048576,8,0)</f>
        <v>SEMI TECHADO</v>
      </c>
      <c r="H13" s="195"/>
      <c r="I13" s="194" t="str">
        <f>VLOOKUP(J15,INVENTARIO!$1:$1048576,8,0)</f>
        <v>DESCUBIERTO</v>
      </c>
      <c r="J13" s="195"/>
      <c r="K13" s="186"/>
      <c r="L13" s="194" t="str">
        <f>VLOOKUP(M15,INVENTARIO!$1:$1048576,8,0)</f>
        <v>DESCUBIERTO</v>
      </c>
      <c r="M13" s="195"/>
      <c r="N13" s="194" t="str">
        <f>VLOOKUP(O15,INVENTARIO!$1:$1048576,8,0)</f>
        <v>SEMI TECHADO</v>
      </c>
      <c r="O13" s="195"/>
      <c r="P13" s="194" t="str">
        <f>VLOOKUP(Q15,INVENTARIO!$1:$1048576,8,0)</f>
        <v>SEMI TECHADO</v>
      </c>
      <c r="Q13" s="195"/>
      <c r="R13" s="181" t="s">
        <v>56</v>
      </c>
    </row>
    <row r="14" spans="4:18" ht="16.149999999999999" customHeight="1">
      <c r="E14" s="54" t="str">
        <f>VLOOKUP(F15,INVENTARIO!$1:$1048576,7,0)</f>
        <v>REGULAR</v>
      </c>
      <c r="F14" s="51">
        <f>VLOOKUP(F15,INVENTARIO!$1:$1048576,6,0)</f>
        <v>2</v>
      </c>
      <c r="G14" s="54" t="str">
        <f>VLOOKUP(H15,INVENTARIO!$1:$1048576,7,0)</f>
        <v>COMPACTO</v>
      </c>
      <c r="H14" s="51">
        <f>VLOOKUP(H15,INVENTARIO!$1:$1048576,6,0)</f>
        <v>1</v>
      </c>
      <c r="I14" s="54" t="str">
        <f>VLOOKUP(J15,INVENTARIO!$1:$1048576,7,0)</f>
        <v>REGULAR</v>
      </c>
      <c r="J14" s="51">
        <f>VLOOKUP(J15,INVENTARIO!$1:$1048576,6,0)</f>
        <v>2</v>
      </c>
      <c r="K14" s="186"/>
      <c r="L14" s="54" t="str">
        <f>VLOOKUP(M15,INVENTARIO!$1:$1048576,7,0)</f>
        <v>REGULAR</v>
      </c>
      <c r="M14" s="51">
        <f>VLOOKUP(M15,INVENTARIO!$1:$1048576,6,0)</f>
        <v>2</v>
      </c>
      <c r="N14" s="54" t="str">
        <f>VLOOKUP(O15,INVENTARIO!$1:$1048576,7,0)</f>
        <v>COMPACTO</v>
      </c>
      <c r="O14" s="51">
        <f>VLOOKUP(O15,INVENTARIO!$1:$1048576,6,0)</f>
        <v>1</v>
      </c>
      <c r="P14" s="54" t="str">
        <f>VLOOKUP(Q15,INVENTARIO!$1:$1048576,7,0)</f>
        <v>REGULAR</v>
      </c>
      <c r="Q14" s="51">
        <f>VLOOKUP(Q15,INVENTARIO!$1:$1048576,6,0)</f>
        <v>2</v>
      </c>
      <c r="R14" s="181"/>
    </row>
    <row r="15" spans="4:18" ht="15.75" thickBot="1">
      <c r="E15" s="37" t="str">
        <f>VLOOKUP(F15,INVENTARIO!$1:$1048576,2,0)</f>
        <v>REVOLUCIÓN</v>
      </c>
      <c r="F15" s="28">
        <v>601</v>
      </c>
      <c r="G15" s="27" t="str">
        <f>VLOOKUP(H15,INVENTARIO!$1:$1048576,2,0)</f>
        <v>CEBRA</v>
      </c>
      <c r="H15" s="24">
        <v>602</v>
      </c>
      <c r="I15" s="25">
        <f>VLOOKUP(J15,INVENTARIO!$1:$1048576,2,0)</f>
        <v>664</v>
      </c>
      <c r="J15" s="29">
        <v>603</v>
      </c>
      <c r="K15" s="186"/>
      <c r="L15" s="25">
        <f>VLOOKUP(M15,INVENTARIO!$1:$1048576,2,0)</f>
        <v>664</v>
      </c>
      <c r="M15" s="24">
        <v>604</v>
      </c>
      <c r="N15" s="27" t="str">
        <f>VLOOKUP(O15,INVENTARIO!$1:$1048576,2,0)</f>
        <v>CEBRA</v>
      </c>
      <c r="O15" s="29">
        <v>605</v>
      </c>
      <c r="P15" s="37" t="str">
        <f>VLOOKUP(Q15,INVENTARIO!$1:$1048576,2,0)</f>
        <v>REVOLUCIÓN</v>
      </c>
      <c r="Q15" s="28">
        <v>606</v>
      </c>
      <c r="R15" s="181"/>
    </row>
    <row r="16" spans="4:18" ht="6" customHeight="1" thickBot="1">
      <c r="E16" s="31"/>
      <c r="F16" s="32"/>
      <c r="G16" s="31"/>
      <c r="H16" s="32"/>
      <c r="I16" s="33"/>
      <c r="J16" s="34"/>
      <c r="K16" s="186"/>
      <c r="L16" s="35"/>
      <c r="M16" s="32"/>
      <c r="N16" s="31"/>
      <c r="O16" s="32"/>
      <c r="P16" s="31"/>
      <c r="Q16" s="32"/>
      <c r="R16" s="181"/>
    </row>
    <row r="17" spans="5:18" ht="18" customHeight="1" thickBot="1">
      <c r="E17" s="194" t="str">
        <f>VLOOKUP(F19,INVENTARIO!$1:$1048576,8,0)</f>
        <v>SEMI TECHADO</v>
      </c>
      <c r="F17" s="195"/>
      <c r="G17" s="194" t="str">
        <f>VLOOKUP(H19,INVENTARIO!$1:$1048576,8,0)</f>
        <v>SEMI TECHADO</v>
      </c>
      <c r="H17" s="195"/>
      <c r="I17" s="194" t="str">
        <f>VLOOKUP(J19,INVENTARIO!$1:$1048576,8,0)</f>
        <v>DESCUBIERTO</v>
      </c>
      <c r="J17" s="195"/>
      <c r="K17" s="186"/>
      <c r="L17" s="194" t="str">
        <f>VLOOKUP(M19,INVENTARIO!$1:$1048576,8,0)</f>
        <v>DESCUBIERTO</v>
      </c>
      <c r="M17" s="195"/>
      <c r="N17" s="194" t="str">
        <f>VLOOKUP(O19,INVENTARIO!$1:$1048576,8,0)</f>
        <v>SEMI TECHADO</v>
      </c>
      <c r="O17" s="195"/>
      <c r="P17" s="194" t="str">
        <f>VLOOKUP(Q19,INVENTARIO!$1:$1048576,8,0)</f>
        <v>SEMI TECHADO</v>
      </c>
      <c r="Q17" s="195"/>
      <c r="R17" s="181"/>
    </row>
    <row r="18" spans="5:18">
      <c r="E18" s="54" t="str">
        <f>VLOOKUP(F19,INVENTARIO!$1:$1048576,7,0)</f>
        <v>REGULAR</v>
      </c>
      <c r="F18" s="51">
        <f>VLOOKUP(F19,INVENTARIO!$1:$1048576,6,0)</f>
        <v>2</v>
      </c>
      <c r="G18" s="54" t="str">
        <f>VLOOKUP(H19,INVENTARIO!$1:$1048576,7,0)</f>
        <v>COMPACTO</v>
      </c>
      <c r="H18" s="51">
        <f>VLOOKUP(H19,INVENTARIO!$1:$1048576,6,0)</f>
        <v>1</v>
      </c>
      <c r="I18" s="54" t="str">
        <f>VLOOKUP(J19,INVENTARIO!$1:$1048576,7,0)</f>
        <v>REGULAR</v>
      </c>
      <c r="J18" s="51">
        <f>VLOOKUP(J19,INVENTARIO!$1:$1048576,6,0)</f>
        <v>1</v>
      </c>
      <c r="K18" s="186"/>
      <c r="L18" s="54" t="str">
        <f>VLOOKUP(M19,INVENTARIO!$1:$1048576,7,0)</f>
        <v>REGULAR</v>
      </c>
      <c r="M18" s="51">
        <f>VLOOKUP(M19,INVENTARIO!$1:$1048576,6,0)</f>
        <v>1</v>
      </c>
      <c r="N18" s="54" t="str">
        <f>VLOOKUP(O19,INVENTARIO!$1:$1048576,7,0)</f>
        <v>COMPACTO</v>
      </c>
      <c r="O18" s="51">
        <f>VLOOKUP(O19,INVENTARIO!$1:$1048576,6,0)</f>
        <v>1</v>
      </c>
      <c r="P18" s="54" t="str">
        <f>VLOOKUP(Q19,INVENTARIO!$1:$1048576,7,0)</f>
        <v>REGULAR</v>
      </c>
      <c r="Q18" s="51">
        <f>VLOOKUP(Q19,INVENTARIO!$1:$1048576,6,0)</f>
        <v>2</v>
      </c>
      <c r="R18" s="181"/>
    </row>
    <row r="19" spans="5:18" ht="15.75" thickBot="1">
      <c r="E19" s="37" t="str">
        <f>VLOOKUP(F19,INVENTARIO!$1:$1048576,2,0)</f>
        <v>REVOLUCIÓN</v>
      </c>
      <c r="F19" s="28">
        <v>501</v>
      </c>
      <c r="G19" s="27" t="str">
        <f>VLOOKUP(H19,INVENTARIO!$1:$1048576,2,0)</f>
        <v>CEBRA</v>
      </c>
      <c r="H19" s="38">
        <v>502</v>
      </c>
      <c r="I19" s="25">
        <f>VLOOKUP(J19,INVENTARIO!$1:$1048576,2,0)</f>
        <v>664</v>
      </c>
      <c r="J19" s="28">
        <v>503</v>
      </c>
      <c r="K19" s="186"/>
      <c r="L19" s="25">
        <f>VLOOKUP(M19,INVENTARIO!$1:$1048576,2,0)</f>
        <v>664</v>
      </c>
      <c r="M19" s="38">
        <v>504</v>
      </c>
      <c r="N19" s="27" t="str">
        <f>VLOOKUP(O19,INVENTARIO!$1:$1048576,2,0)</f>
        <v>CEBRA</v>
      </c>
      <c r="O19" s="38">
        <v>505</v>
      </c>
      <c r="P19" s="37" t="str">
        <f>VLOOKUP(Q19,INVENTARIO!$1:$1048576,2,0)</f>
        <v>REVOLUCIÓN</v>
      </c>
      <c r="Q19" s="28">
        <v>506</v>
      </c>
      <c r="R19" s="181"/>
    </row>
    <row r="20" spans="5:18" ht="6" customHeight="1" thickBot="1">
      <c r="E20" s="31"/>
      <c r="F20" s="32"/>
      <c r="G20" s="31"/>
      <c r="H20" s="32"/>
      <c r="I20" s="33"/>
      <c r="J20" s="34"/>
      <c r="K20" s="186"/>
      <c r="L20" s="35"/>
      <c r="M20" s="32"/>
      <c r="N20" s="31"/>
      <c r="O20" s="32"/>
      <c r="P20" s="31"/>
      <c r="Q20" s="32"/>
      <c r="R20" s="181"/>
    </row>
    <row r="21" spans="5:18" ht="18" customHeight="1" thickBot="1">
      <c r="E21" s="194" t="str">
        <f>VLOOKUP(F23,INVENTARIO!$1:$1048576,8,0)</f>
        <v>SEMI TECHADO</v>
      </c>
      <c r="F21" s="195"/>
      <c r="G21" s="194" t="str">
        <f>VLOOKUP(H23,INVENTARIO!$1:$1048576,8,0)</f>
        <v>DESCUBIERTO</v>
      </c>
      <c r="H21" s="195"/>
      <c r="I21" s="194" t="str">
        <f>VLOOKUP(J23,INVENTARIO!$1:$1048576,8,0)</f>
        <v>DESCUBIERTO</v>
      </c>
      <c r="J21" s="195"/>
      <c r="K21" s="186"/>
      <c r="L21" s="194" t="str">
        <f>VLOOKUP(M23,INVENTARIO!$1:$1048576,8,0)</f>
        <v>DESCUBIERTO</v>
      </c>
      <c r="M21" s="195"/>
      <c r="N21" s="194" t="str">
        <f>VLOOKUP(O23,INVENTARIO!$1:$1048576,8,0)</f>
        <v>SEMI TECHADO</v>
      </c>
      <c r="O21" s="195"/>
      <c r="P21" s="194" t="str">
        <f>VLOOKUP(Q23,INVENTARIO!$1:$1048576,8,0)</f>
        <v>SEMI TECHADO</v>
      </c>
      <c r="Q21" s="195"/>
      <c r="R21" s="181"/>
    </row>
    <row r="22" spans="5:18">
      <c r="E22" s="54" t="str">
        <f>VLOOKUP(F23,INVENTARIO!$1:$1048576,7,0)</f>
        <v>REGULAR</v>
      </c>
      <c r="F22" s="51">
        <f>VLOOKUP(F23,INVENTARIO!$1:$1048576,6,0)</f>
        <v>2</v>
      </c>
      <c r="G22" s="54" t="str">
        <f>VLOOKUP(H23,INVENTARIO!$1:$1048576,7,0)</f>
        <v>COMPACTO</v>
      </c>
      <c r="H22" s="51">
        <f>VLOOKUP(H23,INVENTARIO!$1:$1048576,6,0)</f>
        <v>1</v>
      </c>
      <c r="I22" s="54" t="str">
        <f>VLOOKUP(J23,INVENTARIO!$1:$1048576,7,0)</f>
        <v>REGULAR</v>
      </c>
      <c r="J22" s="51">
        <f>VLOOKUP(J23,INVENTARIO!$1:$1048576,6,0)</f>
        <v>1</v>
      </c>
      <c r="K22" s="186"/>
      <c r="L22" s="54" t="str">
        <f>VLOOKUP(M23,INVENTARIO!$1:$1048576,7,0)</f>
        <v>REGULAR</v>
      </c>
      <c r="M22" s="51">
        <f>VLOOKUP(M23,INVENTARIO!$1:$1048576,6,0)</f>
        <v>1</v>
      </c>
      <c r="N22" s="54" t="str">
        <f>VLOOKUP(O23,INVENTARIO!$1:$1048576,7,0)</f>
        <v>REGULAR</v>
      </c>
      <c r="O22" s="51">
        <f>VLOOKUP(O23,INVENTARIO!$1:$1048576,6,0)</f>
        <v>1</v>
      </c>
      <c r="P22" s="54" t="str">
        <f>VLOOKUP(Q23,INVENTARIO!$1:$1048576,7,0)</f>
        <v>REGULAR</v>
      </c>
      <c r="Q22" s="51">
        <f>VLOOKUP(Q23,INVENTARIO!$1:$1048576,6,0)</f>
        <v>2</v>
      </c>
      <c r="R22" s="181"/>
    </row>
    <row r="23" spans="5:18" ht="15.75" thickBot="1">
      <c r="E23" s="37" t="str">
        <f>VLOOKUP(F23,INVENTARIO!$1:$1048576,2,0)</f>
        <v>REVOLUCIÓN</v>
      </c>
      <c r="F23" s="24">
        <v>401</v>
      </c>
      <c r="G23" s="27" t="str">
        <f>VLOOKUP(H23,INVENTARIO!$1:$1048576,2,0)</f>
        <v>CEBRA</v>
      </c>
      <c r="H23" s="24">
        <v>402</v>
      </c>
      <c r="I23" s="25">
        <f>VLOOKUP(J23,INVENTARIO!$1:$1048576,2,0)</f>
        <v>664</v>
      </c>
      <c r="J23" s="29">
        <v>403</v>
      </c>
      <c r="K23" s="186"/>
      <c r="L23" s="25">
        <f>VLOOKUP(M23,INVENTARIO!$1:$1048576,2,0)</f>
        <v>664</v>
      </c>
      <c r="M23" s="24">
        <v>404</v>
      </c>
      <c r="N23" s="27" t="str">
        <f>VLOOKUP(O23,INVENTARIO!$1:$1048576,2,0)</f>
        <v>CEBRA</v>
      </c>
      <c r="O23" s="24">
        <v>405</v>
      </c>
      <c r="P23" s="37" t="str">
        <f>VLOOKUP(Q23,INVENTARIO!$1:$1048576,2,0)</f>
        <v>REVOLUCIÓN</v>
      </c>
      <c r="Q23" s="24">
        <v>406</v>
      </c>
      <c r="R23" s="181"/>
    </row>
    <row r="24" spans="5:18" ht="6" customHeight="1" thickBot="1">
      <c r="E24" s="31"/>
      <c r="F24" s="32"/>
      <c r="G24" s="31"/>
      <c r="H24" s="32"/>
      <c r="I24" s="33"/>
      <c r="J24" s="34"/>
      <c r="K24" s="186"/>
      <c r="L24" s="35"/>
      <c r="M24" s="32"/>
      <c r="N24" s="31"/>
      <c r="O24" s="32"/>
      <c r="P24" s="31"/>
      <c r="Q24" s="32"/>
      <c r="R24" s="181"/>
    </row>
    <row r="25" spans="5:18" ht="18" customHeight="1" thickBot="1">
      <c r="E25" s="194" t="str">
        <f>VLOOKUP(F27,INVENTARIO!$1:$1048576,8,0)</f>
        <v>SEMI TECHADO</v>
      </c>
      <c r="F25" s="195"/>
      <c r="G25" s="194" t="str">
        <f>VLOOKUP(H27,INVENTARIO!$1:$1048576,8,0)</f>
        <v>DESCUBIERTO</v>
      </c>
      <c r="H25" s="195"/>
      <c r="I25" s="194" t="str">
        <f>VLOOKUP(J27,INVENTARIO!$1:$1048576,8,0)</f>
        <v>DESCUBIERTO</v>
      </c>
      <c r="J25" s="195"/>
      <c r="K25" s="186"/>
      <c r="L25" s="194" t="str">
        <f>VLOOKUP(M27,INVENTARIO!$1:$1048576,8,0)</f>
        <v>DESCUBIERTO</v>
      </c>
      <c r="M25" s="195"/>
      <c r="N25" s="194" t="str">
        <f>VLOOKUP(O27,INVENTARIO!$1:$1048576,8,0)</f>
        <v>SEMI TECHADO</v>
      </c>
      <c r="O25" s="195"/>
      <c r="P25" s="194" t="str">
        <f>VLOOKUP(Q27,INVENTARIO!$1:$1048576,8,0)</f>
        <v>SEMI TECHADO</v>
      </c>
      <c r="Q25" s="195"/>
      <c r="R25" s="181"/>
    </row>
    <row r="26" spans="5:18" ht="16.149999999999999" customHeight="1">
      <c r="E26" s="54" t="str">
        <f>VLOOKUP(F27,INVENTARIO!$1:$1048576,7,0)</f>
        <v>REGULAR</v>
      </c>
      <c r="F26" s="51">
        <f>VLOOKUP(F27,INVENTARIO!$1:$1048576,6,0)</f>
        <v>1</v>
      </c>
      <c r="G26" s="54" t="str">
        <f>VLOOKUP(H27,INVENTARIO!$1:$1048576,7,0)</f>
        <v>COMPACTO</v>
      </c>
      <c r="H26" s="51">
        <f>VLOOKUP(H27,INVENTARIO!$1:$1048576,6,0)</f>
        <v>1</v>
      </c>
      <c r="I26" s="54" t="str">
        <f>VLOOKUP(J27,INVENTARIO!$1:$1048576,7,0)</f>
        <v>REGULAR</v>
      </c>
      <c r="J26" s="51">
        <f>VLOOKUP(J27,INVENTARIO!$1:$1048576,6,0)</f>
        <v>1</v>
      </c>
      <c r="K26" s="186"/>
      <c r="L26" s="54" t="str">
        <f>VLOOKUP(M27,INVENTARIO!$1:$1048576,7,0)</f>
        <v>REGULAR</v>
      </c>
      <c r="M26" s="51">
        <f>VLOOKUP(M27,INVENTARIO!$1:$1048576,6,0)</f>
        <v>1</v>
      </c>
      <c r="N26" s="54" t="str">
        <f>VLOOKUP(O27,INVENTARIO!$1:$1048576,7,0)</f>
        <v>REGULAR</v>
      </c>
      <c r="O26" s="51">
        <f>VLOOKUP(O27,INVENTARIO!$1:$1048576,6,0)</f>
        <v>1</v>
      </c>
      <c r="P26" s="54" t="str">
        <f>VLOOKUP(Q27,INVENTARIO!$1:$1048576,7,0)</f>
        <v>REGULAR</v>
      </c>
      <c r="Q26" s="51">
        <f>VLOOKUP(Q27,INVENTARIO!$1:$1048576,6,0)</f>
        <v>1</v>
      </c>
      <c r="R26" s="181"/>
    </row>
    <row r="27" spans="5:18" ht="15.75" thickBot="1">
      <c r="E27" s="37" t="str">
        <f>VLOOKUP(F27,INVENTARIO!$1:$1048576,2,0)</f>
        <v>REVOLUCIÓN</v>
      </c>
      <c r="F27" s="28">
        <v>301</v>
      </c>
      <c r="G27" s="27" t="str">
        <f>VLOOKUP(H27,INVENTARIO!$1:$1048576,2,0)</f>
        <v>CEBRA</v>
      </c>
      <c r="H27" s="38">
        <v>302</v>
      </c>
      <c r="I27" s="25">
        <f>VLOOKUP(J27,INVENTARIO!$1:$1048576,2,0)</f>
        <v>664</v>
      </c>
      <c r="J27" s="28">
        <v>303</v>
      </c>
      <c r="K27" s="186"/>
      <c r="L27" s="25">
        <f>VLOOKUP(M27,INVENTARIO!$1:$1048576,2,0)</f>
        <v>664</v>
      </c>
      <c r="M27" s="38">
        <v>304</v>
      </c>
      <c r="N27" s="27" t="str">
        <f>VLOOKUP(O27,INVENTARIO!$1:$1048576,2,0)</f>
        <v>CEBRA</v>
      </c>
      <c r="O27" s="38">
        <v>305</v>
      </c>
      <c r="P27" s="37" t="str">
        <f>VLOOKUP(Q27,INVENTARIO!$1:$1048576,2,0)</f>
        <v>REVOLUCIÓN</v>
      </c>
      <c r="Q27" s="28">
        <v>306</v>
      </c>
      <c r="R27" s="181"/>
    </row>
    <row r="28" spans="5:18" ht="6" customHeight="1" thickBot="1">
      <c r="E28" s="31"/>
      <c r="F28" s="32"/>
      <c r="G28" s="31"/>
      <c r="H28" s="32"/>
      <c r="I28" s="33"/>
      <c r="J28" s="34"/>
      <c r="K28" s="186"/>
      <c r="L28" s="35"/>
      <c r="M28" s="32"/>
      <c r="N28" s="31"/>
      <c r="O28" s="32"/>
      <c r="P28" s="31"/>
      <c r="Q28" s="32"/>
      <c r="R28" s="181"/>
    </row>
    <row r="29" spans="5:18" ht="18" customHeight="1" thickBot="1">
      <c r="E29" s="194" t="str">
        <f>VLOOKUP(F31,INVENTARIO!$1:$1048576,8,0)</f>
        <v>DESCUBIERTO</v>
      </c>
      <c r="F29" s="195"/>
      <c r="G29" s="194" t="str">
        <f>VLOOKUP(H31,INVENTARIO!$1:$1048576,8,0)</f>
        <v>DESCUBIERTO</v>
      </c>
      <c r="H29" s="195"/>
      <c r="I29" s="194" t="str">
        <f>VLOOKUP(J31,INVENTARIO!$1:$1048576,8,0)</f>
        <v>DESCUBIERTO</v>
      </c>
      <c r="J29" s="195"/>
      <c r="K29" s="186"/>
      <c r="L29" s="194" t="str">
        <f>VLOOKUP(M31,INVENTARIO!$1:$1048576,8,0)</f>
        <v>DESCUBIERTO</v>
      </c>
      <c r="M29" s="195"/>
      <c r="N29" s="194" t="str">
        <f>VLOOKUP(O31,INVENTARIO!$1:$1048576,8,0)</f>
        <v>DESCUBIERTO</v>
      </c>
      <c r="O29" s="195"/>
      <c r="P29" s="194" t="str">
        <f>VLOOKUP(Q31,INVENTARIO!$1:$1048576,8,0)</f>
        <v>DESCUBIERTO</v>
      </c>
      <c r="Q29" s="195"/>
      <c r="R29" s="181"/>
    </row>
    <row r="30" spans="5:18">
      <c r="E30" s="54" t="str">
        <f>VLOOKUP(F31,INVENTARIO!$1:$1048576,7,0)</f>
        <v>REGULAR</v>
      </c>
      <c r="F30" s="51">
        <f>VLOOKUP(F31,INVENTARIO!$1:$1048576,6,0)</f>
        <v>1</v>
      </c>
      <c r="G30" s="54" t="str">
        <f>VLOOKUP(H31,INVENTARIO!$1:$1048576,7,0)</f>
        <v>COMPACTO</v>
      </c>
      <c r="H30" s="51">
        <f>VLOOKUP(H31,INVENTARIO!$1:$1048576,6,0)</f>
        <v>1</v>
      </c>
      <c r="I30" s="54" t="str">
        <f>VLOOKUP(J31,INVENTARIO!$1:$1048576,7,0)</f>
        <v>REGULAR</v>
      </c>
      <c r="J30" s="51">
        <f>VLOOKUP(J31,INVENTARIO!$1:$1048576,6,0)</f>
        <v>1</v>
      </c>
      <c r="K30" s="186"/>
      <c r="L30" s="54" t="str">
        <f>VLOOKUP(M31,INVENTARIO!$1:$1048576,7,0)</f>
        <v>REGULAR</v>
      </c>
      <c r="M30" s="51">
        <f>VLOOKUP(M31,INVENTARIO!$1:$1048576,6,0)</f>
        <v>1</v>
      </c>
      <c r="N30" s="54" t="str">
        <f>VLOOKUP(O31,INVENTARIO!$1:$1048576,7,0)</f>
        <v>REGULAR</v>
      </c>
      <c r="O30" s="51">
        <f>VLOOKUP(O31,INVENTARIO!$1:$1048576,6,0)</f>
        <v>1</v>
      </c>
      <c r="P30" s="54" t="str">
        <f>VLOOKUP(Q31,INVENTARIO!$1:$1048576,7,0)</f>
        <v>REGULAR</v>
      </c>
      <c r="Q30" s="51">
        <f>VLOOKUP(Q31,INVENTARIO!$1:$1048576,6,0)</f>
        <v>1</v>
      </c>
      <c r="R30" s="181"/>
    </row>
    <row r="31" spans="5:18" ht="15.75" thickBot="1">
      <c r="E31" s="37" t="str">
        <f>VLOOKUP(F31,INVENTARIO!$1:$1048576,2,0)</f>
        <v>REVOLUCIÓN</v>
      </c>
      <c r="F31" s="28">
        <v>201</v>
      </c>
      <c r="G31" s="27" t="str">
        <f>VLOOKUP(H31,INVENTARIO!$1:$1048576,2,0)</f>
        <v>CEBRA</v>
      </c>
      <c r="H31" s="38">
        <v>202</v>
      </c>
      <c r="I31" s="25">
        <f>VLOOKUP(J31,INVENTARIO!$1:$1048576,2,0)</f>
        <v>664</v>
      </c>
      <c r="J31" s="28">
        <v>203</v>
      </c>
      <c r="K31" s="186"/>
      <c r="L31" s="25">
        <f>VLOOKUP(M31,INVENTARIO!$1:$1048576,2,0)</f>
        <v>664</v>
      </c>
      <c r="M31" s="38">
        <v>204</v>
      </c>
      <c r="N31" s="27" t="str">
        <f>VLOOKUP(O31,INVENTARIO!$1:$1048576,2,0)</f>
        <v>CEBRA</v>
      </c>
      <c r="O31" s="38">
        <v>205</v>
      </c>
      <c r="P31" s="37" t="str">
        <f>VLOOKUP(Q31,INVENTARIO!$1:$1048576,2,0)</f>
        <v>REVOLUCIÓN</v>
      </c>
      <c r="Q31" s="28">
        <v>206</v>
      </c>
      <c r="R31" s="181"/>
    </row>
    <row r="32" spans="5:18" ht="6" customHeight="1" thickBot="1">
      <c r="E32" s="31"/>
      <c r="F32" s="32"/>
      <c r="G32" s="31"/>
      <c r="H32" s="32"/>
      <c r="I32" s="33"/>
      <c r="J32" s="34"/>
      <c r="K32" s="186"/>
      <c r="L32" s="35"/>
      <c r="M32" s="32"/>
      <c r="N32" s="31"/>
      <c r="O32" s="32"/>
      <c r="P32" s="31"/>
      <c r="Q32" s="32"/>
      <c r="R32" s="181"/>
    </row>
    <row r="33" spans="5:18" ht="18" customHeight="1" thickBot="1">
      <c r="E33" s="194" t="str">
        <f>VLOOKUP(F35,INVENTARIO!$1:$1048576,8,0)</f>
        <v>DESCUBIERTO</v>
      </c>
      <c r="F33" s="195"/>
      <c r="G33" s="194" t="str">
        <f>VLOOKUP(H35,INVENTARIO!$1:$1048576,8,0)</f>
        <v>DESCUBIERTO</v>
      </c>
      <c r="H33" s="195"/>
      <c r="I33" s="194" t="str">
        <f>VLOOKUP(J35,INVENTARIO!$1:$1048576,8,0)</f>
        <v>DESCUBIERTO</v>
      </c>
      <c r="J33" s="195"/>
      <c r="K33" s="186"/>
      <c r="L33" s="194" t="str">
        <f>VLOOKUP(M35,INVENTARIO!$1:$1048576,8,0)</f>
        <v>DESCUBIERTO</v>
      </c>
      <c r="M33" s="195"/>
      <c r="N33" s="194" t="str">
        <f>VLOOKUP(O35,INVENTARIO!$1:$1048576,8,0)</f>
        <v>DESCUBIERTO</v>
      </c>
      <c r="O33" s="195"/>
      <c r="P33" s="194" t="str">
        <f>VLOOKUP(Q35,INVENTARIO!$1:$1048576,8,0)</f>
        <v>DESCUBIERTO</v>
      </c>
      <c r="Q33" s="195"/>
      <c r="R33" s="181"/>
    </row>
    <row r="34" spans="5:18">
      <c r="E34" s="54" t="str">
        <f>VLOOKUP(F35,INVENTARIO!$1:$1048576,7,0)</f>
        <v>REGULAR</v>
      </c>
      <c r="F34" s="51">
        <f>VLOOKUP(F35,INVENTARIO!$1:$1048576,6,0)</f>
        <v>2</v>
      </c>
      <c r="G34" s="54" t="str">
        <f>VLOOKUP(H35,INVENTARIO!$1:$1048576,7,0)</f>
        <v>COMPACTO</v>
      </c>
      <c r="H34" s="51">
        <f>VLOOKUP(H35,INVENTARIO!$1:$1048576,6,0)</f>
        <v>1</v>
      </c>
      <c r="I34" s="54" t="str">
        <f>VLOOKUP(J35,INVENTARIO!$1:$1048576,7,0)</f>
        <v>REGULAR</v>
      </c>
      <c r="J34" s="51">
        <f>VLOOKUP(J35,INVENTARIO!$1:$1048576,6,0)</f>
        <v>1</v>
      </c>
      <c r="K34" s="186"/>
      <c r="L34" s="54" t="str">
        <f>VLOOKUP(M35,INVENTARIO!$1:$1048576,7,0)</f>
        <v>REGULAR</v>
      </c>
      <c r="M34" s="51">
        <f>VLOOKUP(M35,INVENTARIO!$1:$1048576,6,0)</f>
        <v>1</v>
      </c>
      <c r="N34" s="54" t="str">
        <f>VLOOKUP(O35,INVENTARIO!$1:$1048576,7,0)</f>
        <v>REGULAR</v>
      </c>
      <c r="O34" s="51">
        <f>VLOOKUP(O35,INVENTARIO!$1:$1048576,6,0)</f>
        <v>1</v>
      </c>
      <c r="P34" s="54" t="str">
        <f>VLOOKUP(Q35,INVENTARIO!$1:$1048576,7,0)</f>
        <v>REGULAR</v>
      </c>
      <c r="Q34" s="51">
        <f>VLOOKUP(Q35,INVENTARIO!$1:$1048576,6,0)</f>
        <v>2</v>
      </c>
      <c r="R34" s="181"/>
    </row>
    <row r="35" spans="5:18" ht="15.75" thickBot="1">
      <c r="E35" s="37" t="str">
        <f>VLOOKUP(F35,INVENTARIO!$1:$1048576,2,0)</f>
        <v>REVOLUCIÓN</v>
      </c>
      <c r="F35" s="28">
        <v>101</v>
      </c>
      <c r="G35" s="27" t="str">
        <f>VLOOKUP(H35,INVENTARIO!$1:$1048576,2,0)</f>
        <v>CEBRA</v>
      </c>
      <c r="H35" s="38">
        <v>102</v>
      </c>
      <c r="I35" s="25">
        <f>VLOOKUP(J35,INVENTARIO!$1:$1048576,2,0)</f>
        <v>664</v>
      </c>
      <c r="J35" s="28">
        <v>103</v>
      </c>
      <c r="K35" s="187"/>
      <c r="L35" s="25">
        <f>VLOOKUP(M35,INVENTARIO!$1:$1048576,2,0)</f>
        <v>664</v>
      </c>
      <c r="M35" s="38">
        <v>104</v>
      </c>
      <c r="N35" s="27" t="str">
        <f>VLOOKUP(O35,INVENTARIO!$1:$1048576,2,0)</f>
        <v>CEBRA</v>
      </c>
      <c r="O35" s="38">
        <v>105</v>
      </c>
      <c r="P35" s="37" t="str">
        <f>VLOOKUP(Q35,INVENTARIO!$1:$1048576,2,0)</f>
        <v>REVOLUCIÓN</v>
      </c>
      <c r="Q35" s="28">
        <v>106</v>
      </c>
      <c r="R35" s="181"/>
    </row>
    <row r="36" spans="5:18">
      <c r="E36" s="1" t="s">
        <v>5</v>
      </c>
      <c r="G36" s="1" t="s">
        <v>7</v>
      </c>
      <c r="I36" s="1" t="s">
        <v>5</v>
      </c>
      <c r="L36" s="1" t="s">
        <v>5</v>
      </c>
      <c r="N36" s="1" t="s">
        <v>7</v>
      </c>
      <c r="P36" s="26" t="s">
        <v>5</v>
      </c>
    </row>
    <row r="38" spans="5:18">
      <c r="E38" s="182" t="s">
        <v>14</v>
      </c>
      <c r="F38" s="183"/>
      <c r="G38" s="184" t="s">
        <v>4</v>
      </c>
      <c r="H38" s="184"/>
      <c r="I38" s="184"/>
      <c r="J38" s="184"/>
      <c r="K38" s="184"/>
      <c r="L38" s="184"/>
      <c r="M38" s="184"/>
      <c r="N38" s="184"/>
      <c r="O38" s="184"/>
      <c r="P38" s="184" t="s">
        <v>55</v>
      </c>
      <c r="Q38" s="184"/>
    </row>
    <row r="40" spans="5:18" ht="15.75" thickBot="1"/>
    <row r="41" spans="5:18" ht="15.75" thickBot="1">
      <c r="E41" s="56" t="s">
        <v>73</v>
      </c>
      <c r="F41" s="194" t="s">
        <v>71</v>
      </c>
      <c r="G41" s="195"/>
    </row>
    <row r="42" spans="5:18" ht="15.75" thickBot="1">
      <c r="E42" s="56" t="s">
        <v>25</v>
      </c>
      <c r="F42" s="192">
        <v>2</v>
      </c>
      <c r="G42" s="193"/>
    </row>
    <row r="43" spans="5:18" ht="15.75" thickBot="1">
      <c r="E43" s="56" t="s">
        <v>2</v>
      </c>
      <c r="F43" s="194" t="s">
        <v>52</v>
      </c>
      <c r="G43" s="195"/>
    </row>
  </sheetData>
  <sheetProtection algorithmName="SHA-512" hashValue="0l85+VCKK4lPuiQ8isuIpQNcrRXG0gbuwI6CQPrX0hr3aKrr5XtYrKhCbByRzaZSqTSliQ8Fy0vZ9HekuUvBOQ==" saltValue="/4aPo0X4CHDpID1r+rUHsw==" spinCount="100000" sheet="1" objects="1" scenarios="1"/>
  <mergeCells count="54">
    <mergeCell ref="N29:O29"/>
    <mergeCell ref="P25:Q25"/>
    <mergeCell ref="E38:F38"/>
    <mergeCell ref="G38:O38"/>
    <mergeCell ref="P38:Q38"/>
    <mergeCell ref="N25:O25"/>
    <mergeCell ref="D10:E10"/>
    <mergeCell ref="Q10:R10"/>
    <mergeCell ref="E33:F33"/>
    <mergeCell ref="G33:H33"/>
    <mergeCell ref="I33:J33"/>
    <mergeCell ref="L33:M33"/>
    <mergeCell ref="N33:O33"/>
    <mergeCell ref="P33:Q33"/>
    <mergeCell ref="E29:F29"/>
    <mergeCell ref="G29:H29"/>
    <mergeCell ref="I29:J29"/>
    <mergeCell ref="L29:M29"/>
    <mergeCell ref="E25:F25"/>
    <mergeCell ref="G25:H25"/>
    <mergeCell ref="I25:J25"/>
    <mergeCell ref="L25:M25"/>
    <mergeCell ref="P13:Q13"/>
    <mergeCell ref="R13:R35"/>
    <mergeCell ref="K10:K35"/>
    <mergeCell ref="P21:Q21"/>
    <mergeCell ref="E17:F17"/>
    <mergeCell ref="G17:H17"/>
    <mergeCell ref="I17:J17"/>
    <mergeCell ref="L17:M17"/>
    <mergeCell ref="N17:O17"/>
    <mergeCell ref="P17:Q17"/>
    <mergeCell ref="E21:F21"/>
    <mergeCell ref="G21:H21"/>
    <mergeCell ref="I21:J21"/>
    <mergeCell ref="L21:M21"/>
    <mergeCell ref="N21:O21"/>
    <mergeCell ref="P29:Q29"/>
    <mergeCell ref="F42:G42"/>
    <mergeCell ref="F43:G43"/>
    <mergeCell ref="P9:R9"/>
    <mergeCell ref="F41:G41"/>
    <mergeCell ref="D9:F9"/>
    <mergeCell ref="G9:H9"/>
    <mergeCell ref="I9:J9"/>
    <mergeCell ref="L9:M9"/>
    <mergeCell ref="N9:O9"/>
    <mergeCell ref="D11:E11"/>
    <mergeCell ref="Q11:R11"/>
    <mergeCell ref="E13:F13"/>
    <mergeCell ref="G13:H13"/>
    <mergeCell ref="I13:J13"/>
    <mergeCell ref="L13:M13"/>
    <mergeCell ref="N13:O13"/>
  </mergeCells>
  <conditionalFormatting sqref="D9:F10">
    <cfRule type="containsText" dxfId="212" priority="241" operator="containsText" text="TECHADO">
      <formula>NOT(ISERROR(SEARCH("TECHADO",D9)))</formula>
    </cfRule>
    <cfRule type="containsText" dxfId="211" priority="240" operator="containsText" text="COMPACTO">
      <formula>NOT(ISERROR(SEARCH("COMPACTO",D9)))</formula>
    </cfRule>
    <cfRule type="containsText" dxfId="210" priority="238" operator="containsText" text="2">
      <formula>NOT(ISERROR(SEARCH("2",D9)))</formula>
    </cfRule>
  </conditionalFormatting>
  <conditionalFormatting sqref="E14 G14 I14">
    <cfRule type="containsText" dxfId="209" priority="213" operator="containsText" text="TECHADO">
      <formula>NOT(ISERROR(SEARCH("TECHADO",E14)))</formula>
    </cfRule>
    <cfRule type="containsText" dxfId="208" priority="212" operator="containsText" text="COMPACTO">
      <formula>NOT(ISERROR(SEARCH("COMPACTO",E14)))</formula>
    </cfRule>
    <cfRule type="containsText" dxfId="207" priority="211" operator="containsText" text="2">
      <formula>NOT(ISERROR(SEARCH("2",E14)))</formula>
    </cfRule>
  </conditionalFormatting>
  <conditionalFormatting sqref="E18 G18 I18">
    <cfRule type="containsText" dxfId="206" priority="202" operator="containsText" text="2">
      <formula>NOT(ISERROR(SEARCH("2",E18)))</formula>
    </cfRule>
    <cfRule type="containsText" dxfId="205" priority="203" operator="containsText" text="COMPACTO">
      <formula>NOT(ISERROR(SEARCH("COMPACTO",E18)))</formula>
    </cfRule>
    <cfRule type="containsText" dxfId="204" priority="204" operator="containsText" text="TECHADO">
      <formula>NOT(ISERROR(SEARCH("TECHADO",E18)))</formula>
    </cfRule>
  </conditionalFormatting>
  <conditionalFormatting sqref="E22 G22 I22">
    <cfRule type="containsText" dxfId="203" priority="196" operator="containsText" text="2">
      <formula>NOT(ISERROR(SEARCH("2",E22)))</formula>
    </cfRule>
    <cfRule type="containsText" dxfId="202" priority="198" operator="containsText" text="TECHADO">
      <formula>NOT(ISERROR(SEARCH("TECHADO",E22)))</formula>
    </cfRule>
    <cfRule type="containsText" dxfId="201" priority="197" operator="containsText" text="COMPACTO">
      <formula>NOT(ISERROR(SEARCH("COMPACTO",E22)))</formula>
    </cfRule>
  </conditionalFormatting>
  <conditionalFormatting sqref="E26 G26 I26">
    <cfRule type="containsText" dxfId="200" priority="190" operator="containsText" text="2">
      <formula>NOT(ISERROR(SEARCH("2",E26)))</formula>
    </cfRule>
    <cfRule type="containsText" dxfId="199" priority="191" operator="containsText" text="COMPACTO">
      <formula>NOT(ISERROR(SEARCH("COMPACTO",E26)))</formula>
    </cfRule>
    <cfRule type="containsText" dxfId="198" priority="192" operator="containsText" text="TECHADO">
      <formula>NOT(ISERROR(SEARCH("TECHADO",E26)))</formula>
    </cfRule>
  </conditionalFormatting>
  <conditionalFormatting sqref="E30 G30 I30">
    <cfRule type="containsText" dxfId="197" priority="184" operator="containsText" text="2">
      <formula>NOT(ISERROR(SEARCH("2",E30)))</formula>
    </cfRule>
    <cfRule type="containsText" dxfId="196" priority="185" operator="containsText" text="COMPACTO">
      <formula>NOT(ISERROR(SEARCH("COMPACTO",E30)))</formula>
    </cfRule>
    <cfRule type="containsText" dxfId="195" priority="186" operator="containsText" text="TECHADO">
      <formula>NOT(ISERROR(SEARCH("TECHADO",E30)))</formula>
    </cfRule>
  </conditionalFormatting>
  <conditionalFormatting sqref="E34 G34 I34">
    <cfRule type="containsText" dxfId="194" priority="178" operator="containsText" text="2">
      <formula>NOT(ISERROR(SEARCH("2",E34)))</formula>
    </cfRule>
    <cfRule type="containsText" dxfId="193" priority="179" operator="containsText" text="COMPACTO">
      <formula>NOT(ISERROR(SEARCH("COMPACTO",E34)))</formula>
    </cfRule>
    <cfRule type="containsText" dxfId="192" priority="180" operator="containsText" text="TECHADO">
      <formula>NOT(ISERROR(SEARCH("TECHADO",E34)))</formula>
    </cfRule>
  </conditionalFormatting>
  <conditionalFormatting sqref="E13:J13">
    <cfRule type="containsText" dxfId="191" priority="215" operator="containsText" text="COMPACTO">
      <formula>NOT(ISERROR(SEARCH("COMPACTO",E13)))</formula>
    </cfRule>
    <cfRule type="containsText" dxfId="190" priority="214" operator="containsText" text="2">
      <formula>NOT(ISERROR(SEARCH("2",E13)))</formula>
    </cfRule>
    <cfRule type="containsText" dxfId="189" priority="216" operator="containsText" text="TECHADO">
      <formula>NOT(ISERROR(SEARCH("TECHADO",E13)))</formula>
    </cfRule>
  </conditionalFormatting>
  <conditionalFormatting sqref="E17:J17">
    <cfRule type="containsText" dxfId="188" priority="207" operator="containsText" text="TECHADO">
      <formula>NOT(ISERROR(SEARCH("TECHADO",E17)))</formula>
    </cfRule>
    <cfRule type="containsText" dxfId="187" priority="206" operator="containsText" text="COMPACTO">
      <formula>NOT(ISERROR(SEARCH("COMPACTO",E17)))</formula>
    </cfRule>
    <cfRule type="containsText" dxfId="186" priority="205" operator="containsText" text="2">
      <formula>NOT(ISERROR(SEARCH("2",E17)))</formula>
    </cfRule>
  </conditionalFormatting>
  <conditionalFormatting sqref="E21:J21">
    <cfRule type="containsText" dxfId="185" priority="199" operator="containsText" text="2">
      <formula>NOT(ISERROR(SEARCH("2",E21)))</formula>
    </cfRule>
    <cfRule type="containsText" dxfId="184" priority="200" operator="containsText" text="COMPACTO">
      <formula>NOT(ISERROR(SEARCH("COMPACTO",E21)))</formula>
    </cfRule>
    <cfRule type="containsText" dxfId="183" priority="201" operator="containsText" text="TECHADO">
      <formula>NOT(ISERROR(SEARCH("TECHADO",E21)))</formula>
    </cfRule>
  </conditionalFormatting>
  <conditionalFormatting sqref="E25:J25">
    <cfRule type="containsText" dxfId="182" priority="193" operator="containsText" text="2">
      <formula>NOT(ISERROR(SEARCH("2",E25)))</formula>
    </cfRule>
    <cfRule type="containsText" dxfId="181" priority="194" operator="containsText" text="COMPACTO">
      <formula>NOT(ISERROR(SEARCH("COMPACTO",E25)))</formula>
    </cfRule>
    <cfRule type="containsText" dxfId="180" priority="195" operator="containsText" text="TECHADO">
      <formula>NOT(ISERROR(SEARCH("TECHADO",E25)))</formula>
    </cfRule>
  </conditionalFormatting>
  <conditionalFormatting sqref="E29:J29">
    <cfRule type="containsText" dxfId="179" priority="187" operator="containsText" text="2">
      <formula>NOT(ISERROR(SEARCH("2",E29)))</formula>
    </cfRule>
    <cfRule type="containsText" dxfId="178" priority="188" operator="containsText" text="COMPACTO">
      <formula>NOT(ISERROR(SEARCH("COMPACTO",E29)))</formula>
    </cfRule>
    <cfRule type="containsText" dxfId="177" priority="189" operator="containsText" text="TECHADO">
      <formula>NOT(ISERROR(SEARCH("TECHADO",E29)))</formula>
    </cfRule>
  </conditionalFormatting>
  <conditionalFormatting sqref="E33:J33">
    <cfRule type="containsText" dxfId="176" priority="183" operator="containsText" text="TECHADO">
      <formula>NOT(ISERROR(SEARCH("TECHADO",E33)))</formula>
    </cfRule>
    <cfRule type="containsText" dxfId="175" priority="181" operator="containsText" text="2">
      <formula>NOT(ISERROR(SEARCH("2",E33)))</formula>
    </cfRule>
    <cfRule type="containsText" dxfId="174" priority="182" operator="containsText" text="COMPACTO">
      <formula>NOT(ISERROR(SEARCH("COMPACTO",E33)))</formula>
    </cfRule>
  </conditionalFormatting>
  <conditionalFormatting sqref="F14">
    <cfRule type="containsText" dxfId="173" priority="140" operator="containsText" text="COMPACTO">
      <formula>NOT(ISERROR(SEARCH("COMPACTO",F14)))</formula>
    </cfRule>
    <cfRule type="containsText" dxfId="172" priority="141" operator="containsText" text="TECHADO">
      <formula>NOT(ISERROR(SEARCH("TECHADO",F14)))</formula>
    </cfRule>
    <cfRule type="containsText" dxfId="171" priority="139" operator="containsText" text="2">
      <formula>NOT(ISERROR(SEARCH("2",F14)))</formula>
    </cfRule>
  </conditionalFormatting>
  <conditionalFormatting sqref="F18">
    <cfRule type="containsText" dxfId="170" priority="137" operator="containsText" text="COMPACTO">
      <formula>NOT(ISERROR(SEARCH("COMPACTO",F18)))</formula>
    </cfRule>
    <cfRule type="containsText" dxfId="169" priority="138" operator="containsText" text="TECHADO">
      <formula>NOT(ISERROR(SEARCH("TECHADO",F18)))</formula>
    </cfRule>
    <cfRule type="containsText" dxfId="168" priority="136" operator="containsText" text="2">
      <formula>NOT(ISERROR(SEARCH("2",F18)))</formula>
    </cfRule>
  </conditionalFormatting>
  <conditionalFormatting sqref="F22">
    <cfRule type="containsText" dxfId="167" priority="133" operator="containsText" text="2">
      <formula>NOT(ISERROR(SEARCH("2",F22)))</formula>
    </cfRule>
    <cfRule type="containsText" dxfId="166" priority="134" operator="containsText" text="COMPACTO">
      <formula>NOT(ISERROR(SEARCH("COMPACTO",F22)))</formula>
    </cfRule>
    <cfRule type="containsText" dxfId="165" priority="135" operator="containsText" text="TECHADO">
      <formula>NOT(ISERROR(SEARCH("TECHADO",F22)))</formula>
    </cfRule>
  </conditionalFormatting>
  <conditionalFormatting sqref="F26">
    <cfRule type="containsText" dxfId="164" priority="130" operator="containsText" text="2">
      <formula>NOT(ISERROR(SEARCH("2",F26)))</formula>
    </cfRule>
    <cfRule type="containsText" dxfId="163" priority="131" operator="containsText" text="COMPACTO">
      <formula>NOT(ISERROR(SEARCH("COMPACTO",F26)))</formula>
    </cfRule>
    <cfRule type="containsText" dxfId="162" priority="132" operator="containsText" text="TECHADO">
      <formula>NOT(ISERROR(SEARCH("TECHADO",F26)))</formula>
    </cfRule>
  </conditionalFormatting>
  <conditionalFormatting sqref="F30">
    <cfRule type="containsText" dxfId="161" priority="129" operator="containsText" text="TECHADO">
      <formula>NOT(ISERROR(SEARCH("TECHADO",F30)))</formula>
    </cfRule>
    <cfRule type="containsText" dxfId="160" priority="128" operator="containsText" text="COMPACTO">
      <formula>NOT(ISERROR(SEARCH("COMPACTO",F30)))</formula>
    </cfRule>
    <cfRule type="containsText" dxfId="159" priority="127" operator="containsText" text="2">
      <formula>NOT(ISERROR(SEARCH("2",F30)))</formula>
    </cfRule>
  </conditionalFormatting>
  <conditionalFormatting sqref="F34">
    <cfRule type="containsText" dxfId="158" priority="126" operator="containsText" text="TECHADO">
      <formula>NOT(ISERROR(SEARCH("TECHADO",F34)))</formula>
    </cfRule>
    <cfRule type="containsText" dxfId="157" priority="125" operator="containsText" text="COMPACTO">
      <formula>NOT(ISERROR(SEARCH("COMPACTO",F34)))</formula>
    </cfRule>
    <cfRule type="containsText" dxfId="156" priority="124" operator="containsText" text="2">
      <formula>NOT(ISERROR(SEARCH("2",F34)))</formula>
    </cfRule>
  </conditionalFormatting>
  <conditionalFormatting sqref="F41:F43">
    <cfRule type="containsText" dxfId="155" priority="6" operator="containsText" text="TECHADO">
      <formula>NOT(ISERROR(SEARCH("TECHADO",F41)))</formula>
    </cfRule>
    <cfRule type="containsText" dxfId="154" priority="5" operator="containsText" text="COMPACTO">
      <formula>NOT(ISERROR(SEARCH("COMPACTO",F41)))</formula>
    </cfRule>
    <cfRule type="containsText" dxfId="153" priority="4" operator="containsText" text="2">
      <formula>NOT(ISERROR(SEARCH("2",F41)))</formula>
    </cfRule>
  </conditionalFormatting>
  <conditionalFormatting sqref="G10">
    <cfRule type="containsText" dxfId="152" priority="218" operator="containsText" text="COMPACTO">
      <formula>NOT(ISERROR(SEARCH("COMPACTO",G10)))</formula>
    </cfRule>
    <cfRule type="containsText" dxfId="151" priority="217" operator="containsText" text="2">
      <formula>NOT(ISERROR(SEARCH("2",G10)))</formula>
    </cfRule>
    <cfRule type="containsText" dxfId="150" priority="219" operator="containsText" text="TECHADO">
      <formula>NOT(ISERROR(SEARCH("TECHADO",G10)))</formula>
    </cfRule>
  </conditionalFormatting>
  <conditionalFormatting sqref="G9:J9">
    <cfRule type="containsText" dxfId="149" priority="234" operator="containsText" text="TECHADO">
      <formula>NOT(ISERROR(SEARCH("TECHADO",G9)))</formula>
    </cfRule>
    <cfRule type="containsText" dxfId="148" priority="233" operator="containsText" text="COMPACTO">
      <formula>NOT(ISERROR(SEARCH("COMPACTO",G9)))</formula>
    </cfRule>
    <cfRule type="containsText" dxfId="147" priority="232" operator="containsText" text="2">
      <formula>NOT(ISERROR(SEARCH("2",G9)))</formula>
    </cfRule>
  </conditionalFormatting>
  <conditionalFormatting sqref="H10">
    <cfRule type="containsText" dxfId="146" priority="103" operator="containsText" text="2">
      <formula>NOT(ISERROR(SEARCH("2",H10)))</formula>
    </cfRule>
    <cfRule type="containsText" dxfId="145" priority="104" operator="containsText" text="COMPACTO">
      <formula>NOT(ISERROR(SEARCH("COMPACTO",H10)))</formula>
    </cfRule>
    <cfRule type="containsText" dxfId="144" priority="105" operator="containsText" text="TECHADO">
      <formula>NOT(ISERROR(SEARCH("TECHADO",H10)))</formula>
    </cfRule>
  </conditionalFormatting>
  <conditionalFormatting sqref="H14">
    <cfRule type="containsText" dxfId="143" priority="107" operator="containsText" text="COMPACTO">
      <formula>NOT(ISERROR(SEARCH("COMPACTO",H14)))</formula>
    </cfRule>
    <cfRule type="containsText" dxfId="142" priority="106" operator="containsText" text="2">
      <formula>NOT(ISERROR(SEARCH("2",H14)))</formula>
    </cfRule>
    <cfRule type="containsText" dxfId="141" priority="108" operator="containsText" text="TECHADO">
      <formula>NOT(ISERROR(SEARCH("TECHADO",H14)))</formula>
    </cfRule>
  </conditionalFormatting>
  <conditionalFormatting sqref="H18">
    <cfRule type="containsText" dxfId="140" priority="111" operator="containsText" text="TECHADO">
      <formula>NOT(ISERROR(SEARCH("TECHADO",H18)))</formula>
    </cfRule>
    <cfRule type="containsText" dxfId="139" priority="109" operator="containsText" text="2">
      <formula>NOT(ISERROR(SEARCH("2",H18)))</formula>
    </cfRule>
    <cfRule type="containsText" dxfId="138" priority="110" operator="containsText" text="COMPACTO">
      <formula>NOT(ISERROR(SEARCH("COMPACTO",H18)))</formula>
    </cfRule>
  </conditionalFormatting>
  <conditionalFormatting sqref="H22">
    <cfRule type="containsText" dxfId="137" priority="114" operator="containsText" text="TECHADO">
      <formula>NOT(ISERROR(SEARCH("TECHADO",H22)))</formula>
    </cfRule>
    <cfRule type="containsText" dxfId="136" priority="112" operator="containsText" text="2">
      <formula>NOT(ISERROR(SEARCH("2",H22)))</formula>
    </cfRule>
    <cfRule type="containsText" dxfId="135" priority="113" operator="containsText" text="COMPACTO">
      <formula>NOT(ISERROR(SEARCH("COMPACTO",H22)))</formula>
    </cfRule>
  </conditionalFormatting>
  <conditionalFormatting sqref="H26">
    <cfRule type="containsText" dxfId="134" priority="116" operator="containsText" text="COMPACTO">
      <formula>NOT(ISERROR(SEARCH("COMPACTO",H26)))</formula>
    </cfRule>
    <cfRule type="containsText" dxfId="133" priority="115" operator="containsText" text="2">
      <formula>NOT(ISERROR(SEARCH("2",H26)))</formula>
    </cfRule>
    <cfRule type="containsText" dxfId="132" priority="117" operator="containsText" text="TECHADO">
      <formula>NOT(ISERROR(SEARCH("TECHADO",H26)))</formula>
    </cfRule>
  </conditionalFormatting>
  <conditionalFormatting sqref="H30">
    <cfRule type="containsText" dxfId="131" priority="120" operator="containsText" text="TECHADO">
      <formula>NOT(ISERROR(SEARCH("TECHADO",H30)))</formula>
    </cfRule>
    <cfRule type="containsText" dxfId="130" priority="118" operator="containsText" text="2">
      <formula>NOT(ISERROR(SEARCH("2",H30)))</formula>
    </cfRule>
    <cfRule type="containsText" dxfId="129" priority="119" operator="containsText" text="COMPACTO">
      <formula>NOT(ISERROR(SEARCH("COMPACTO",H30)))</formula>
    </cfRule>
  </conditionalFormatting>
  <conditionalFormatting sqref="H34">
    <cfRule type="containsText" dxfId="128" priority="122" operator="containsText" text="COMPACTO">
      <formula>NOT(ISERROR(SEARCH("COMPACTO",H34)))</formula>
    </cfRule>
    <cfRule type="containsText" dxfId="127" priority="121" operator="containsText" text="2">
      <formula>NOT(ISERROR(SEARCH("2",H34)))</formula>
    </cfRule>
    <cfRule type="containsText" dxfId="126" priority="123" operator="containsText" text="TECHADO">
      <formula>NOT(ISERROR(SEARCH("TECHADO",H34)))</formula>
    </cfRule>
  </conditionalFormatting>
  <conditionalFormatting sqref="J10">
    <cfRule type="containsText" dxfId="125" priority="102" operator="containsText" text="TECHADO">
      <formula>NOT(ISERROR(SEARCH("TECHADO",J10)))</formula>
    </cfRule>
    <cfRule type="containsText" dxfId="124" priority="100" operator="containsText" text="2">
      <formula>NOT(ISERROR(SEARCH("2",J10)))</formula>
    </cfRule>
    <cfRule type="containsText" dxfId="123" priority="101" operator="containsText" text="COMPACTO">
      <formula>NOT(ISERROR(SEARCH("COMPACTO",J10)))</formula>
    </cfRule>
  </conditionalFormatting>
  <conditionalFormatting sqref="J14">
    <cfRule type="containsText" dxfId="122" priority="98" operator="containsText" text="COMPACTO">
      <formula>NOT(ISERROR(SEARCH("COMPACTO",J14)))</formula>
    </cfRule>
    <cfRule type="containsText" dxfId="121" priority="97" operator="containsText" text="2">
      <formula>NOT(ISERROR(SEARCH("2",J14)))</formula>
    </cfRule>
    <cfRule type="containsText" dxfId="120" priority="99" operator="containsText" text="TECHADO">
      <formula>NOT(ISERROR(SEARCH("TECHADO",J14)))</formula>
    </cfRule>
  </conditionalFormatting>
  <conditionalFormatting sqref="J18">
    <cfRule type="containsText" dxfId="119" priority="95" operator="containsText" text="COMPACTO">
      <formula>NOT(ISERROR(SEARCH("COMPACTO",J18)))</formula>
    </cfRule>
    <cfRule type="containsText" dxfId="118" priority="94" operator="containsText" text="2">
      <formula>NOT(ISERROR(SEARCH("2",J18)))</formula>
    </cfRule>
    <cfRule type="containsText" dxfId="117" priority="96" operator="containsText" text="TECHADO">
      <formula>NOT(ISERROR(SEARCH("TECHADO",J18)))</formula>
    </cfRule>
  </conditionalFormatting>
  <conditionalFormatting sqref="J22">
    <cfRule type="containsText" dxfId="116" priority="91" operator="containsText" text="2">
      <formula>NOT(ISERROR(SEARCH("2",J22)))</formula>
    </cfRule>
    <cfRule type="containsText" dxfId="115" priority="92" operator="containsText" text="COMPACTO">
      <formula>NOT(ISERROR(SEARCH("COMPACTO",J22)))</formula>
    </cfRule>
    <cfRule type="containsText" dxfId="114" priority="93" operator="containsText" text="TECHADO">
      <formula>NOT(ISERROR(SEARCH("TECHADO",J22)))</formula>
    </cfRule>
  </conditionalFormatting>
  <conditionalFormatting sqref="J26">
    <cfRule type="containsText" dxfId="113" priority="89" operator="containsText" text="COMPACTO">
      <formula>NOT(ISERROR(SEARCH("COMPACTO",J26)))</formula>
    </cfRule>
    <cfRule type="containsText" dxfId="112" priority="88" operator="containsText" text="2">
      <formula>NOT(ISERROR(SEARCH("2",J26)))</formula>
    </cfRule>
    <cfRule type="containsText" dxfId="111" priority="90" operator="containsText" text="TECHADO">
      <formula>NOT(ISERROR(SEARCH("TECHADO",J26)))</formula>
    </cfRule>
  </conditionalFormatting>
  <conditionalFormatting sqref="J30">
    <cfRule type="containsText" dxfId="110" priority="85" operator="containsText" text="2">
      <formula>NOT(ISERROR(SEARCH("2",J30)))</formula>
    </cfRule>
    <cfRule type="containsText" dxfId="109" priority="86" operator="containsText" text="COMPACTO">
      <formula>NOT(ISERROR(SEARCH("COMPACTO",J30)))</formula>
    </cfRule>
    <cfRule type="containsText" dxfId="108" priority="87" operator="containsText" text="TECHADO">
      <formula>NOT(ISERROR(SEARCH("TECHADO",J30)))</formula>
    </cfRule>
  </conditionalFormatting>
  <conditionalFormatting sqref="J34">
    <cfRule type="containsText" dxfId="107" priority="82" operator="containsText" text="2">
      <formula>NOT(ISERROR(SEARCH("2",J34)))</formula>
    </cfRule>
    <cfRule type="containsText" dxfId="106" priority="84" operator="containsText" text="TECHADO">
      <formula>NOT(ISERROR(SEARCH("TECHADO",J34)))</formula>
    </cfRule>
    <cfRule type="containsText" dxfId="105" priority="83" operator="containsText" text="COMPACTO">
      <formula>NOT(ISERROR(SEARCH("COMPACTO",J34)))</formula>
    </cfRule>
  </conditionalFormatting>
  <conditionalFormatting sqref="L14 N14 P14">
    <cfRule type="containsText" dxfId="104" priority="174" operator="containsText" text="TECHADO">
      <formula>NOT(ISERROR(SEARCH("TECHADO",L14)))</formula>
    </cfRule>
    <cfRule type="containsText" dxfId="103" priority="172" operator="containsText" text="2">
      <formula>NOT(ISERROR(SEARCH("2",L14)))</formula>
    </cfRule>
    <cfRule type="containsText" dxfId="102" priority="173" operator="containsText" text="COMPACTO">
      <formula>NOT(ISERROR(SEARCH("COMPACTO",L14)))</formula>
    </cfRule>
  </conditionalFormatting>
  <conditionalFormatting sqref="L18 N18 P18">
    <cfRule type="containsText" dxfId="101" priority="166" operator="containsText" text="2">
      <formula>NOT(ISERROR(SEARCH("2",L18)))</formula>
    </cfRule>
    <cfRule type="containsText" dxfId="100" priority="167" operator="containsText" text="COMPACTO">
      <formula>NOT(ISERROR(SEARCH("COMPACTO",L18)))</formula>
    </cfRule>
    <cfRule type="containsText" dxfId="99" priority="168" operator="containsText" text="TECHADO">
      <formula>NOT(ISERROR(SEARCH("TECHADO",L18)))</formula>
    </cfRule>
  </conditionalFormatting>
  <conditionalFormatting sqref="L22 N22 P22">
    <cfRule type="containsText" dxfId="98" priority="160" operator="containsText" text="2">
      <formula>NOT(ISERROR(SEARCH("2",L22)))</formula>
    </cfRule>
    <cfRule type="containsText" dxfId="97" priority="162" operator="containsText" text="TECHADO">
      <formula>NOT(ISERROR(SEARCH("TECHADO",L22)))</formula>
    </cfRule>
    <cfRule type="containsText" dxfId="96" priority="161" operator="containsText" text="COMPACTO">
      <formula>NOT(ISERROR(SEARCH("COMPACTO",L22)))</formula>
    </cfRule>
  </conditionalFormatting>
  <conditionalFormatting sqref="L26 N26 P26">
    <cfRule type="containsText" dxfId="95" priority="156" operator="containsText" text="TECHADO">
      <formula>NOT(ISERROR(SEARCH("TECHADO",L26)))</formula>
    </cfRule>
    <cfRule type="containsText" dxfId="94" priority="154" operator="containsText" text="2">
      <formula>NOT(ISERROR(SEARCH("2",L26)))</formula>
    </cfRule>
    <cfRule type="containsText" dxfId="93" priority="155" operator="containsText" text="COMPACTO">
      <formula>NOT(ISERROR(SEARCH("COMPACTO",L26)))</formula>
    </cfRule>
  </conditionalFormatting>
  <conditionalFormatting sqref="L30 N30 P30">
    <cfRule type="containsText" dxfId="92" priority="150" operator="containsText" text="TECHADO">
      <formula>NOT(ISERROR(SEARCH("TECHADO",L30)))</formula>
    </cfRule>
    <cfRule type="containsText" dxfId="91" priority="148" operator="containsText" text="2">
      <formula>NOT(ISERROR(SEARCH("2",L30)))</formula>
    </cfRule>
    <cfRule type="containsText" dxfId="90" priority="149" operator="containsText" text="COMPACTO">
      <formula>NOT(ISERROR(SEARCH("COMPACTO",L30)))</formula>
    </cfRule>
  </conditionalFormatting>
  <conditionalFormatting sqref="L34 N34 P34">
    <cfRule type="containsText" dxfId="89" priority="144" operator="containsText" text="TECHADO">
      <formula>NOT(ISERROR(SEARCH("TECHADO",L34)))</formula>
    </cfRule>
    <cfRule type="containsText" dxfId="88" priority="143" operator="containsText" text="COMPACTO">
      <formula>NOT(ISERROR(SEARCH("COMPACTO",L34)))</formula>
    </cfRule>
    <cfRule type="containsText" dxfId="87" priority="142" operator="containsText" text="2">
      <formula>NOT(ISERROR(SEARCH("2",L34)))</formula>
    </cfRule>
  </conditionalFormatting>
  <conditionalFormatting sqref="L9:P9">
    <cfRule type="containsText" dxfId="86" priority="223" operator="containsText" text="2">
      <formula>NOT(ISERROR(SEARCH("2",L9)))</formula>
    </cfRule>
    <cfRule type="containsText" dxfId="85" priority="225" operator="containsText" text="TECHADO">
      <formula>NOT(ISERROR(SEARCH("TECHADO",L9)))</formula>
    </cfRule>
    <cfRule type="containsText" dxfId="84" priority="224" operator="containsText" text="COMPACTO">
      <formula>NOT(ISERROR(SEARCH("COMPACTO",L9)))</formula>
    </cfRule>
  </conditionalFormatting>
  <conditionalFormatting sqref="L13:Q13">
    <cfRule type="containsText" dxfId="83" priority="175" operator="containsText" text="2">
      <formula>NOT(ISERROR(SEARCH("2",L13)))</formula>
    </cfRule>
    <cfRule type="containsText" dxfId="82" priority="177" operator="containsText" text="TECHADO">
      <formula>NOT(ISERROR(SEARCH("TECHADO",L13)))</formula>
    </cfRule>
    <cfRule type="containsText" dxfId="81" priority="176" operator="containsText" text="COMPACTO">
      <formula>NOT(ISERROR(SEARCH("COMPACTO",L13)))</formula>
    </cfRule>
  </conditionalFormatting>
  <conditionalFormatting sqref="L17:Q17">
    <cfRule type="containsText" dxfId="80" priority="169" operator="containsText" text="2">
      <formula>NOT(ISERROR(SEARCH("2",L17)))</formula>
    </cfRule>
    <cfRule type="containsText" dxfId="79" priority="171" operator="containsText" text="TECHADO">
      <formula>NOT(ISERROR(SEARCH("TECHADO",L17)))</formula>
    </cfRule>
    <cfRule type="containsText" dxfId="78" priority="170" operator="containsText" text="COMPACTO">
      <formula>NOT(ISERROR(SEARCH("COMPACTO",L17)))</formula>
    </cfRule>
  </conditionalFormatting>
  <conditionalFormatting sqref="L21:Q21">
    <cfRule type="containsText" dxfId="77" priority="165" operator="containsText" text="TECHADO">
      <formula>NOT(ISERROR(SEARCH("TECHADO",L21)))</formula>
    </cfRule>
    <cfRule type="containsText" dxfId="76" priority="164" operator="containsText" text="COMPACTO">
      <formula>NOT(ISERROR(SEARCH("COMPACTO",L21)))</formula>
    </cfRule>
    <cfRule type="containsText" dxfId="75" priority="163" operator="containsText" text="2">
      <formula>NOT(ISERROR(SEARCH("2",L21)))</formula>
    </cfRule>
  </conditionalFormatting>
  <conditionalFormatting sqref="L25:Q25">
    <cfRule type="containsText" dxfId="74" priority="159" operator="containsText" text="TECHADO">
      <formula>NOT(ISERROR(SEARCH("TECHADO",L25)))</formula>
    </cfRule>
    <cfRule type="containsText" dxfId="73" priority="158" operator="containsText" text="COMPACTO">
      <formula>NOT(ISERROR(SEARCH("COMPACTO",L25)))</formula>
    </cfRule>
    <cfRule type="containsText" dxfId="72" priority="157" operator="containsText" text="2">
      <formula>NOT(ISERROR(SEARCH("2",L25)))</formula>
    </cfRule>
  </conditionalFormatting>
  <conditionalFormatting sqref="L29:Q29">
    <cfRule type="containsText" dxfId="71" priority="151" operator="containsText" text="2">
      <formula>NOT(ISERROR(SEARCH("2",L29)))</formula>
    </cfRule>
    <cfRule type="containsText" dxfId="70" priority="152" operator="containsText" text="COMPACTO">
      <formula>NOT(ISERROR(SEARCH("COMPACTO",L29)))</formula>
    </cfRule>
    <cfRule type="containsText" dxfId="69" priority="153" operator="containsText" text="TECHADO">
      <formula>NOT(ISERROR(SEARCH("TECHADO",L29)))</formula>
    </cfRule>
  </conditionalFormatting>
  <conditionalFormatting sqref="L33:Q33">
    <cfRule type="containsText" dxfId="68" priority="146" operator="containsText" text="COMPACTO">
      <formula>NOT(ISERROR(SEARCH("COMPACTO",L33)))</formula>
    </cfRule>
    <cfRule type="containsText" dxfId="67" priority="145" operator="containsText" text="2">
      <formula>NOT(ISERROR(SEARCH("2",L33)))</formula>
    </cfRule>
    <cfRule type="containsText" dxfId="66" priority="147" operator="containsText" text="TECHADO">
      <formula>NOT(ISERROR(SEARCH("TECHADO",L33)))</formula>
    </cfRule>
  </conditionalFormatting>
  <conditionalFormatting sqref="M10">
    <cfRule type="containsText" dxfId="65" priority="62" operator="containsText" text="COMPACTO">
      <formula>NOT(ISERROR(SEARCH("COMPACTO",M10)))</formula>
    </cfRule>
    <cfRule type="containsText" dxfId="64" priority="61" operator="containsText" text="2">
      <formula>NOT(ISERROR(SEARCH("2",M10)))</formula>
    </cfRule>
    <cfRule type="containsText" dxfId="63" priority="63" operator="containsText" text="TECHADO">
      <formula>NOT(ISERROR(SEARCH("TECHADO",M10)))</formula>
    </cfRule>
  </conditionalFormatting>
  <conditionalFormatting sqref="M14">
    <cfRule type="containsText" dxfId="62" priority="64" operator="containsText" text="2">
      <formula>NOT(ISERROR(SEARCH("2",M14)))</formula>
    </cfRule>
    <cfRule type="containsText" dxfId="61" priority="65" operator="containsText" text="COMPACTO">
      <formula>NOT(ISERROR(SEARCH("COMPACTO",M14)))</formula>
    </cfRule>
    <cfRule type="containsText" dxfId="60" priority="66" operator="containsText" text="TECHADO">
      <formula>NOT(ISERROR(SEARCH("TECHADO",M14)))</formula>
    </cfRule>
  </conditionalFormatting>
  <conditionalFormatting sqref="M18">
    <cfRule type="containsText" dxfId="59" priority="69" operator="containsText" text="TECHADO">
      <formula>NOT(ISERROR(SEARCH("TECHADO",M18)))</formula>
    </cfRule>
    <cfRule type="containsText" dxfId="58" priority="68" operator="containsText" text="COMPACTO">
      <formula>NOT(ISERROR(SEARCH("COMPACTO",M18)))</formula>
    </cfRule>
    <cfRule type="containsText" dxfId="57" priority="67" operator="containsText" text="2">
      <formula>NOT(ISERROR(SEARCH("2",M18)))</formula>
    </cfRule>
  </conditionalFormatting>
  <conditionalFormatting sqref="M22">
    <cfRule type="containsText" dxfId="56" priority="70" operator="containsText" text="2">
      <formula>NOT(ISERROR(SEARCH("2",M22)))</formula>
    </cfRule>
    <cfRule type="containsText" dxfId="55" priority="71" operator="containsText" text="COMPACTO">
      <formula>NOT(ISERROR(SEARCH("COMPACTO",M22)))</formula>
    </cfRule>
    <cfRule type="containsText" dxfId="54" priority="72" operator="containsText" text="TECHADO">
      <formula>NOT(ISERROR(SEARCH("TECHADO",M22)))</formula>
    </cfRule>
  </conditionalFormatting>
  <conditionalFormatting sqref="M26">
    <cfRule type="containsText" dxfId="53" priority="73" operator="containsText" text="2">
      <formula>NOT(ISERROR(SEARCH("2",M26)))</formula>
    </cfRule>
    <cfRule type="containsText" dxfId="52" priority="75" operator="containsText" text="TECHADO">
      <formula>NOT(ISERROR(SEARCH("TECHADO",M26)))</formula>
    </cfRule>
    <cfRule type="containsText" dxfId="51" priority="74" operator="containsText" text="COMPACTO">
      <formula>NOT(ISERROR(SEARCH("COMPACTO",M26)))</formula>
    </cfRule>
  </conditionalFormatting>
  <conditionalFormatting sqref="M30">
    <cfRule type="containsText" dxfId="50" priority="78" operator="containsText" text="TECHADO">
      <formula>NOT(ISERROR(SEARCH("TECHADO",M30)))</formula>
    </cfRule>
    <cfRule type="containsText" dxfId="49" priority="76" operator="containsText" text="2">
      <formula>NOT(ISERROR(SEARCH("2",M30)))</formula>
    </cfRule>
    <cfRule type="containsText" dxfId="48" priority="77" operator="containsText" text="COMPACTO">
      <formula>NOT(ISERROR(SEARCH("COMPACTO",M30)))</formula>
    </cfRule>
  </conditionalFormatting>
  <conditionalFormatting sqref="M34">
    <cfRule type="containsText" dxfId="47" priority="81" operator="containsText" text="TECHADO">
      <formula>NOT(ISERROR(SEARCH("TECHADO",M34)))</formula>
    </cfRule>
    <cfRule type="containsText" dxfId="46" priority="79" operator="containsText" text="2">
      <formula>NOT(ISERROR(SEARCH("2",M34)))</formula>
    </cfRule>
    <cfRule type="containsText" dxfId="45" priority="80" operator="containsText" text="COMPACTO">
      <formula>NOT(ISERROR(SEARCH("COMPACTO",M34)))</formula>
    </cfRule>
  </conditionalFormatting>
  <conditionalFormatting sqref="N10">
    <cfRule type="containsText" dxfId="44" priority="1" operator="containsText" text="2">
      <formula>NOT(ISERROR(SEARCH("2",N10)))</formula>
    </cfRule>
    <cfRule type="containsText" dxfId="43" priority="3" operator="containsText" text="TECHADO">
      <formula>NOT(ISERROR(SEARCH("TECHADO",N10)))</formula>
    </cfRule>
    <cfRule type="containsText" dxfId="42" priority="2" operator="containsText" text="COMPACTO">
      <formula>NOT(ISERROR(SEARCH("COMPACTO",N10)))</formula>
    </cfRule>
  </conditionalFormatting>
  <conditionalFormatting sqref="O10">
    <cfRule type="containsText" dxfId="41" priority="60" operator="containsText" text="TECHADO">
      <formula>NOT(ISERROR(SEARCH("TECHADO",O10)))</formula>
    </cfRule>
    <cfRule type="containsText" dxfId="40" priority="59" operator="containsText" text="COMPACTO">
      <formula>NOT(ISERROR(SEARCH("COMPACTO",O10)))</formula>
    </cfRule>
    <cfRule type="containsText" dxfId="39" priority="58" operator="containsText" text="2">
      <formula>NOT(ISERROR(SEARCH("2",O10)))</formula>
    </cfRule>
  </conditionalFormatting>
  <conditionalFormatting sqref="O14">
    <cfRule type="containsText" dxfId="38" priority="56" operator="containsText" text="COMPACTO">
      <formula>NOT(ISERROR(SEARCH("COMPACTO",O14)))</formula>
    </cfRule>
    <cfRule type="containsText" dxfId="37" priority="57" operator="containsText" text="TECHADO">
      <formula>NOT(ISERROR(SEARCH("TECHADO",O14)))</formula>
    </cfRule>
    <cfRule type="containsText" dxfId="36" priority="55" operator="containsText" text="2">
      <formula>NOT(ISERROR(SEARCH("2",O14)))</formula>
    </cfRule>
  </conditionalFormatting>
  <conditionalFormatting sqref="O18">
    <cfRule type="containsText" dxfId="35" priority="54" operator="containsText" text="TECHADO">
      <formula>NOT(ISERROR(SEARCH("TECHADO",O18)))</formula>
    </cfRule>
    <cfRule type="containsText" dxfId="34" priority="53" operator="containsText" text="COMPACTO">
      <formula>NOT(ISERROR(SEARCH("COMPACTO",O18)))</formula>
    </cfRule>
    <cfRule type="containsText" dxfId="33" priority="52" operator="containsText" text="2">
      <formula>NOT(ISERROR(SEARCH("2",O18)))</formula>
    </cfRule>
  </conditionalFormatting>
  <conditionalFormatting sqref="O22">
    <cfRule type="containsText" dxfId="32" priority="50" operator="containsText" text="COMPACTO">
      <formula>NOT(ISERROR(SEARCH("COMPACTO",O22)))</formula>
    </cfRule>
    <cfRule type="containsText" dxfId="31" priority="51" operator="containsText" text="TECHADO">
      <formula>NOT(ISERROR(SEARCH("TECHADO",O22)))</formula>
    </cfRule>
    <cfRule type="containsText" dxfId="30" priority="49" operator="containsText" text="2">
      <formula>NOT(ISERROR(SEARCH("2",O22)))</formula>
    </cfRule>
  </conditionalFormatting>
  <conditionalFormatting sqref="O26">
    <cfRule type="containsText" dxfId="29" priority="46" operator="containsText" text="2">
      <formula>NOT(ISERROR(SEARCH("2",O26)))</formula>
    </cfRule>
    <cfRule type="containsText" dxfId="28" priority="47" operator="containsText" text="COMPACTO">
      <formula>NOT(ISERROR(SEARCH("COMPACTO",O26)))</formula>
    </cfRule>
    <cfRule type="containsText" dxfId="27" priority="48" operator="containsText" text="TECHADO">
      <formula>NOT(ISERROR(SEARCH("TECHADO",O26)))</formula>
    </cfRule>
  </conditionalFormatting>
  <conditionalFormatting sqref="O30">
    <cfRule type="containsText" dxfId="26" priority="45" operator="containsText" text="TECHADO">
      <formula>NOT(ISERROR(SEARCH("TECHADO",O30)))</formula>
    </cfRule>
    <cfRule type="containsText" dxfId="25" priority="44" operator="containsText" text="COMPACTO">
      <formula>NOT(ISERROR(SEARCH("COMPACTO",O30)))</formula>
    </cfRule>
    <cfRule type="containsText" dxfId="24" priority="43" operator="containsText" text="2">
      <formula>NOT(ISERROR(SEARCH("2",O30)))</formula>
    </cfRule>
  </conditionalFormatting>
  <conditionalFormatting sqref="O34">
    <cfRule type="containsText" dxfId="23" priority="40" operator="containsText" text="2">
      <formula>NOT(ISERROR(SEARCH("2",O34)))</formula>
    </cfRule>
    <cfRule type="containsText" dxfId="22" priority="42" operator="containsText" text="TECHADO">
      <formula>NOT(ISERROR(SEARCH("TECHADO",O34)))</formula>
    </cfRule>
    <cfRule type="containsText" dxfId="21" priority="41" operator="containsText" text="COMPACTO">
      <formula>NOT(ISERROR(SEARCH("COMPACTO",O34)))</formula>
    </cfRule>
  </conditionalFormatting>
  <conditionalFormatting sqref="Q10">
    <cfRule type="containsText" dxfId="20" priority="19" operator="containsText" text="2">
      <formula>NOT(ISERROR(SEARCH("2",Q10)))</formula>
    </cfRule>
    <cfRule type="containsText" dxfId="19" priority="20" operator="containsText" text="COMPACTO">
      <formula>NOT(ISERROR(SEARCH("COMPACTO",Q10)))</formula>
    </cfRule>
    <cfRule type="containsText" dxfId="18" priority="21" operator="containsText" text="TECHADO">
      <formula>NOT(ISERROR(SEARCH("TECHADO",Q10)))</formula>
    </cfRule>
  </conditionalFormatting>
  <conditionalFormatting sqref="Q14">
    <cfRule type="containsText" dxfId="17" priority="22" operator="containsText" text="2">
      <formula>NOT(ISERROR(SEARCH("2",Q14)))</formula>
    </cfRule>
    <cfRule type="containsText" dxfId="16" priority="23" operator="containsText" text="COMPACTO">
      <formula>NOT(ISERROR(SEARCH("COMPACTO",Q14)))</formula>
    </cfRule>
    <cfRule type="containsText" dxfId="15" priority="24" operator="containsText" text="TECHADO">
      <formula>NOT(ISERROR(SEARCH("TECHADO",Q14)))</formula>
    </cfRule>
  </conditionalFormatting>
  <conditionalFormatting sqref="Q18">
    <cfRule type="containsText" dxfId="14" priority="27" operator="containsText" text="TECHADO">
      <formula>NOT(ISERROR(SEARCH("TECHADO",Q18)))</formula>
    </cfRule>
    <cfRule type="containsText" dxfId="13" priority="26" operator="containsText" text="COMPACTO">
      <formula>NOT(ISERROR(SEARCH("COMPACTO",Q18)))</formula>
    </cfRule>
    <cfRule type="containsText" dxfId="12" priority="25" operator="containsText" text="2">
      <formula>NOT(ISERROR(SEARCH("2",Q18)))</formula>
    </cfRule>
  </conditionalFormatting>
  <conditionalFormatting sqref="Q22">
    <cfRule type="containsText" dxfId="11" priority="28" operator="containsText" text="2">
      <formula>NOT(ISERROR(SEARCH("2",Q22)))</formula>
    </cfRule>
    <cfRule type="containsText" dxfId="10" priority="29" operator="containsText" text="COMPACTO">
      <formula>NOT(ISERROR(SEARCH("COMPACTO",Q22)))</formula>
    </cfRule>
    <cfRule type="containsText" dxfId="9" priority="30" operator="containsText" text="TECHADO">
      <formula>NOT(ISERROR(SEARCH("TECHADO",Q22)))</formula>
    </cfRule>
  </conditionalFormatting>
  <conditionalFormatting sqref="Q26">
    <cfRule type="containsText" dxfId="8" priority="31" operator="containsText" text="2">
      <formula>NOT(ISERROR(SEARCH("2",Q26)))</formula>
    </cfRule>
    <cfRule type="containsText" dxfId="7" priority="32" operator="containsText" text="COMPACTO">
      <formula>NOT(ISERROR(SEARCH("COMPACTO",Q26)))</formula>
    </cfRule>
    <cfRule type="containsText" dxfId="6" priority="33" operator="containsText" text="TECHADO">
      <formula>NOT(ISERROR(SEARCH("TECHADO",Q26)))</formula>
    </cfRule>
  </conditionalFormatting>
  <conditionalFormatting sqref="Q30">
    <cfRule type="containsText" dxfId="5" priority="36" operator="containsText" text="TECHADO">
      <formula>NOT(ISERROR(SEARCH("TECHADO",Q30)))</formula>
    </cfRule>
    <cfRule type="containsText" dxfId="4" priority="34" operator="containsText" text="2">
      <formula>NOT(ISERROR(SEARCH("2",Q30)))</formula>
    </cfRule>
    <cfRule type="containsText" dxfId="3" priority="35" operator="containsText" text="COMPACTO">
      <formula>NOT(ISERROR(SEARCH("COMPACTO",Q30)))</formula>
    </cfRule>
  </conditionalFormatting>
  <conditionalFormatting sqref="Q34">
    <cfRule type="containsText" dxfId="2" priority="38" operator="containsText" text="COMPACTO">
      <formula>NOT(ISERROR(SEARCH("COMPACTO",Q34)))</formula>
    </cfRule>
    <cfRule type="containsText" dxfId="1" priority="37" operator="containsText" text="2">
      <formula>NOT(ISERROR(SEARCH("2",Q34)))</formula>
    </cfRule>
    <cfRule type="containsText" dxfId="0" priority="39" operator="containsText" text="TECHADO">
      <formula>NOT(ISERROR(SEARCH("TECHADO",Q34)))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COTIZACION</vt:lpstr>
      <vt:lpstr>COTIZADOR</vt:lpstr>
      <vt:lpstr>INVENTARIO</vt:lpstr>
      <vt:lpstr>PRINCING</vt:lpstr>
      <vt:lpstr>CAJONES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DEYSI ALEMAN</cp:lastModifiedBy>
  <cp:lastPrinted>2023-10-24T22:50:22Z</cp:lastPrinted>
  <dcterms:created xsi:type="dcterms:W3CDTF">2022-01-04T19:27:37Z</dcterms:created>
  <dcterms:modified xsi:type="dcterms:W3CDTF">2023-11-27T21:06:38Z</dcterms:modified>
</cp:coreProperties>
</file>