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usuario\OneDrive\Documentos\"/>
    </mc:Choice>
  </mc:AlternateContent>
  <xr:revisionPtr revIDLastSave="60" documentId="13_ncr:1_{4A8DB728-611B-4F2A-A7CD-4E06EA0DAD19}" xr6:coauthVersionLast="41" xr6:coauthVersionMax="41" xr10:uidLastSave="{001EA9F3-7F45-4355-BE9D-C0653794E7AC}"/>
  <bookViews>
    <workbookView xWindow="-108" yWindow="-108" windowWidth="23256" windowHeight="12576" firstSheet="1" activeTab="6" xr2:uid="{00000000-000D-0000-FFFF-FFFF00000000}"/>
  </bookViews>
  <sheets>
    <sheet name="JADE" sheetId="2" state="hidden" r:id="rId1"/>
    <sheet name="LIMA" sheetId="6" r:id="rId2"/>
    <sheet name="MALVA" sheetId="7" r:id="rId3"/>
    <sheet name="AMBAR" sheetId="8" r:id="rId4"/>
    <sheet name="CORAL" sheetId="9" r:id="rId5"/>
    <sheet name="TERRACOTA" sheetId="10" r:id="rId6"/>
    <sheet name="CAOBA" sheetId="11" r:id="rId7"/>
    <sheet name="SIENA" sheetId="12" r:id="rId8"/>
  </sheets>
  <definedNames>
    <definedName name="_xlnm.Print_Area" localSheetId="3">AMBAR!$A$1:$AC$23</definedName>
    <definedName name="_xlnm.Print_Area" localSheetId="6">CAOBA!$A$1:$X$23</definedName>
    <definedName name="_xlnm.Print_Area" localSheetId="4">CORAL!$A$1:$X$23</definedName>
    <definedName name="_xlnm.Print_Area" localSheetId="1">LIMA!$A$1:$X$23</definedName>
    <definedName name="_xlnm.Print_Area" localSheetId="2">MALVA!$A$1:$AC$42</definedName>
    <definedName name="_xlnm.Print_Area" localSheetId="7">SIENA!$A$1:$X$23</definedName>
    <definedName name="_xlnm.Print_Area" localSheetId="5">TERRACOTA!$A$1:$X$37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3" i="12" l="1"/>
  <c r="P22" i="12"/>
  <c r="P21" i="12"/>
  <c r="P20" i="12"/>
  <c r="P9" i="12"/>
  <c r="P10" i="12"/>
  <c r="P11" i="12"/>
  <c r="P12" i="12"/>
  <c r="P13" i="12"/>
  <c r="P14" i="12"/>
  <c r="P15" i="12"/>
  <c r="P16" i="12"/>
  <c r="P17" i="12"/>
  <c r="P18" i="12"/>
  <c r="P19" i="12"/>
  <c r="P8" i="12"/>
  <c r="P7" i="12"/>
  <c r="P6" i="12"/>
  <c r="P5" i="12"/>
  <c r="P4" i="12"/>
  <c r="P23" i="11"/>
  <c r="P22" i="11"/>
  <c r="P21" i="11"/>
  <c r="P20" i="11"/>
  <c r="P9" i="11"/>
  <c r="P10" i="11"/>
  <c r="P11" i="11"/>
  <c r="P12" i="11"/>
  <c r="P13" i="11"/>
  <c r="P14" i="11"/>
  <c r="P15" i="11"/>
  <c r="P16" i="11"/>
  <c r="P17" i="11"/>
  <c r="P18" i="11"/>
  <c r="P19" i="11"/>
  <c r="P8" i="11"/>
  <c r="P7" i="11"/>
  <c r="P6" i="11"/>
  <c r="P5" i="11"/>
  <c r="P4" i="11"/>
  <c r="P33" i="10"/>
  <c r="P34" i="10"/>
  <c r="P35" i="10"/>
  <c r="P36" i="10"/>
  <c r="P37" i="10"/>
  <c r="P32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13" i="10"/>
  <c r="P12" i="10"/>
  <c r="P11" i="10"/>
  <c r="P5" i="10"/>
  <c r="P6" i="10"/>
  <c r="P7" i="10"/>
  <c r="P8" i="10"/>
  <c r="P9" i="10"/>
  <c r="P10" i="10"/>
  <c r="P4" i="10"/>
  <c r="P23" i="8"/>
  <c r="P21" i="8"/>
  <c r="P20" i="8"/>
  <c r="P19" i="8"/>
  <c r="P18" i="8"/>
  <c r="P7" i="8"/>
  <c r="P6" i="8"/>
  <c r="P4" i="8"/>
  <c r="P42" i="7"/>
  <c r="P41" i="7"/>
  <c r="P39" i="7"/>
  <c r="P37" i="7"/>
  <c r="P10" i="7"/>
  <c r="P9" i="7"/>
  <c r="P6" i="7"/>
  <c r="P5" i="7"/>
  <c r="P23" i="6"/>
  <c r="P22" i="6"/>
  <c r="P21" i="6"/>
  <c r="P20" i="6"/>
  <c r="P7" i="6"/>
  <c r="P6" i="6"/>
  <c r="P4" i="6"/>
  <c r="P5" i="9"/>
  <c r="P7" i="9"/>
  <c r="P20" i="9"/>
  <c r="P21" i="9"/>
  <c r="P23" i="9"/>
  <c r="P15" i="9"/>
  <c r="P14" i="9"/>
  <c r="P14" i="8"/>
  <c r="P5" i="8"/>
  <c r="P5" i="6" l="1"/>
  <c r="P24" i="11" l="1"/>
  <c r="P26" i="11"/>
  <c r="P27" i="11"/>
  <c r="P24" i="9"/>
  <c r="P26" i="9"/>
  <c r="P24" i="8" l="1"/>
  <c r="P26" i="8"/>
  <c r="O22" i="12" l="1"/>
  <c r="Q22" i="12" s="1"/>
  <c r="O21" i="12"/>
  <c r="Q21" i="12" s="1"/>
  <c r="O13" i="12"/>
  <c r="O14" i="12"/>
  <c r="O8" i="11"/>
  <c r="O9" i="11"/>
  <c r="O10" i="11"/>
  <c r="O11" i="11"/>
  <c r="O13" i="11"/>
  <c r="O14" i="11"/>
  <c r="O17" i="11"/>
  <c r="O18" i="11"/>
  <c r="O21" i="11"/>
  <c r="O8" i="12"/>
  <c r="O9" i="12"/>
  <c r="O16" i="12"/>
  <c r="O17" i="12"/>
  <c r="O18" i="12"/>
  <c r="O19" i="12"/>
  <c r="O23" i="6"/>
  <c r="O22" i="6"/>
  <c r="O21" i="6"/>
  <c r="O20" i="6"/>
  <c r="O19" i="6"/>
  <c r="P19" i="6" s="1"/>
  <c r="O18" i="6"/>
  <c r="P18" i="6" s="1"/>
  <c r="O17" i="6"/>
  <c r="P17" i="6" s="1"/>
  <c r="O16" i="6"/>
  <c r="P16" i="6" s="1"/>
  <c r="O15" i="6"/>
  <c r="P15" i="6" s="1"/>
  <c r="O14" i="6"/>
  <c r="AC14" i="6" s="1"/>
  <c r="O13" i="6"/>
  <c r="O12" i="6"/>
  <c r="O11" i="6"/>
  <c r="O10" i="6"/>
  <c r="O9" i="6"/>
  <c r="O8" i="6"/>
  <c r="O7" i="6"/>
  <c r="O6" i="6"/>
  <c r="O5" i="6"/>
  <c r="O4" i="6"/>
  <c r="F42" i="7"/>
  <c r="M42" i="7" s="1"/>
  <c r="O42" i="7" s="1"/>
  <c r="O41" i="7"/>
  <c r="O40" i="7"/>
  <c r="F39" i="7"/>
  <c r="M39" i="7"/>
  <c r="O39" i="7" s="1"/>
  <c r="F38" i="7"/>
  <c r="M38" i="7"/>
  <c r="O38" i="7" s="1"/>
  <c r="O37" i="7"/>
  <c r="O36" i="7"/>
  <c r="F35" i="7"/>
  <c r="M35" i="7" s="1"/>
  <c r="O35" i="7" s="1"/>
  <c r="F34" i="7"/>
  <c r="M34" i="7" s="1"/>
  <c r="O34" i="7" s="1"/>
  <c r="F33" i="7"/>
  <c r="M33" i="7" s="1"/>
  <c r="O33" i="7" s="1"/>
  <c r="F32" i="7"/>
  <c r="M32" i="7" s="1"/>
  <c r="O32" i="7" s="1"/>
  <c r="F31" i="7"/>
  <c r="M31" i="7" s="1"/>
  <c r="O31" i="7" s="1"/>
  <c r="F30" i="7"/>
  <c r="M30" i="7" s="1"/>
  <c r="O30" i="7" s="1"/>
  <c r="F29" i="7"/>
  <c r="M29" i="7" s="1"/>
  <c r="O29" i="7" s="1"/>
  <c r="F28" i="7"/>
  <c r="M28" i="7" s="1"/>
  <c r="O28" i="7" s="1"/>
  <c r="F27" i="7"/>
  <c r="M27" i="7" s="1"/>
  <c r="O27" i="7" s="1"/>
  <c r="F26" i="7"/>
  <c r="M26" i="7" s="1"/>
  <c r="O26" i="7" s="1"/>
  <c r="F25" i="7"/>
  <c r="M25" i="7" s="1"/>
  <c r="O25" i="7" s="1"/>
  <c r="F24" i="7"/>
  <c r="M24" i="7" s="1"/>
  <c r="O24" i="7" s="1"/>
  <c r="F23" i="7"/>
  <c r="M23" i="7" s="1"/>
  <c r="O23" i="7" s="1"/>
  <c r="F22" i="7"/>
  <c r="M22" i="7"/>
  <c r="O22" i="7" s="1"/>
  <c r="F21" i="7"/>
  <c r="M21" i="7" s="1"/>
  <c r="O21" i="7" s="1"/>
  <c r="F20" i="7"/>
  <c r="M20" i="7" s="1"/>
  <c r="O20" i="7" s="1"/>
  <c r="F19" i="7"/>
  <c r="M19" i="7" s="1"/>
  <c r="O19" i="7" s="1"/>
  <c r="F18" i="7"/>
  <c r="M18" i="7" s="1"/>
  <c r="O18" i="7" s="1"/>
  <c r="F17" i="7"/>
  <c r="M17" i="7" s="1"/>
  <c r="O17" i="7" s="1"/>
  <c r="F16" i="7"/>
  <c r="M16" i="7" s="1"/>
  <c r="O16" i="7" s="1"/>
  <c r="F15" i="7"/>
  <c r="M15" i="7" s="1"/>
  <c r="O15" i="7" s="1"/>
  <c r="F14" i="7"/>
  <c r="M14" i="7" s="1"/>
  <c r="O14" i="7" s="1"/>
  <c r="F13" i="7"/>
  <c r="M13" i="7" s="1"/>
  <c r="O13" i="7" s="1"/>
  <c r="F12" i="7"/>
  <c r="M12" i="7" s="1"/>
  <c r="O12" i="7" s="1"/>
  <c r="F11" i="7"/>
  <c r="M11" i="7" s="1"/>
  <c r="O11" i="7" s="1"/>
  <c r="F10" i="7"/>
  <c r="M10" i="7" s="1"/>
  <c r="O10" i="7" s="1"/>
  <c r="F9" i="7"/>
  <c r="M9" i="7" s="1"/>
  <c r="O9" i="7" s="1"/>
  <c r="F8" i="7"/>
  <c r="M8" i="7" s="1"/>
  <c r="O8" i="7" s="1"/>
  <c r="F7" i="7"/>
  <c r="M7" i="7" s="1"/>
  <c r="O7" i="7" s="1"/>
  <c r="F5" i="7"/>
  <c r="M5" i="7" s="1"/>
  <c r="O5" i="7" s="1"/>
  <c r="Q5" i="7" s="1"/>
  <c r="F4" i="7"/>
  <c r="M4" i="7" s="1"/>
  <c r="O4" i="7" s="1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O4" i="8"/>
  <c r="O37" i="10"/>
  <c r="O36" i="10"/>
  <c r="O35" i="10"/>
  <c r="O34" i="10"/>
  <c r="O33" i="10"/>
  <c r="O32" i="10"/>
  <c r="O31" i="10"/>
  <c r="O30" i="10"/>
  <c r="O29" i="10"/>
  <c r="O28" i="10"/>
  <c r="O27" i="10"/>
  <c r="Q27" i="10" s="1"/>
  <c r="O26" i="10"/>
  <c r="O25" i="10"/>
  <c r="O24" i="10"/>
  <c r="Q24" i="10" s="1"/>
  <c r="O23" i="10"/>
  <c r="O22" i="10"/>
  <c r="O21" i="10"/>
  <c r="O20" i="10"/>
  <c r="O19" i="10"/>
  <c r="Q19" i="10" s="1"/>
  <c r="O18" i="10"/>
  <c r="Q18" i="10" s="1"/>
  <c r="O17" i="10"/>
  <c r="Q17" i="10" s="1"/>
  <c r="O16" i="10"/>
  <c r="O15" i="10"/>
  <c r="O14" i="10"/>
  <c r="O13" i="10"/>
  <c r="O12" i="10"/>
  <c r="O11" i="10"/>
  <c r="O10" i="10"/>
  <c r="O9" i="10"/>
  <c r="O8" i="10"/>
  <c r="O7" i="10"/>
  <c r="O6" i="10"/>
  <c r="O5" i="10"/>
  <c r="O4" i="10"/>
  <c r="F29" i="10"/>
  <c r="F30" i="10"/>
  <c r="F31" i="10"/>
  <c r="F32" i="10"/>
  <c r="F33" i="10"/>
  <c r="Z33" i="10" s="1"/>
  <c r="F34" i="10"/>
  <c r="F35" i="10"/>
  <c r="F36" i="10"/>
  <c r="F37" i="10"/>
  <c r="F18" i="10"/>
  <c r="F19" i="10"/>
  <c r="F20" i="10"/>
  <c r="F21" i="10"/>
  <c r="F22" i="10"/>
  <c r="F23" i="10"/>
  <c r="F24" i="10"/>
  <c r="F25" i="10"/>
  <c r="F26" i="10"/>
  <c r="F27" i="10"/>
  <c r="F28" i="10"/>
  <c r="F13" i="10"/>
  <c r="F14" i="10"/>
  <c r="F39" i="10" s="1"/>
  <c r="F15" i="10"/>
  <c r="F16" i="10"/>
  <c r="F17" i="10"/>
  <c r="F12" i="10"/>
  <c r="O23" i="11"/>
  <c r="O22" i="11"/>
  <c r="O20" i="11"/>
  <c r="O19" i="11"/>
  <c r="O16" i="11"/>
  <c r="O15" i="11"/>
  <c r="O12" i="11"/>
  <c r="O7" i="11"/>
  <c r="O6" i="11"/>
  <c r="O5" i="11"/>
  <c r="O4" i="11"/>
  <c r="O23" i="12"/>
  <c r="O20" i="12"/>
  <c r="O15" i="12"/>
  <c r="O12" i="12"/>
  <c r="O11" i="12"/>
  <c r="O10" i="12"/>
  <c r="O7" i="12"/>
  <c r="O6" i="12"/>
  <c r="O4" i="12"/>
  <c r="O5" i="12"/>
  <c r="O23" i="9"/>
  <c r="O22" i="9"/>
  <c r="O21" i="9"/>
  <c r="O20" i="9"/>
  <c r="O19" i="9"/>
  <c r="O18" i="9"/>
  <c r="O17" i="9"/>
  <c r="P17" i="9" s="1"/>
  <c r="Q17" i="9" s="1"/>
  <c r="O16" i="9"/>
  <c r="O15" i="9"/>
  <c r="O14" i="9"/>
  <c r="O13" i="9"/>
  <c r="O12" i="9"/>
  <c r="O11" i="9"/>
  <c r="O10" i="9"/>
  <c r="O9" i="9"/>
  <c r="O8" i="9"/>
  <c r="O7" i="9"/>
  <c r="O6" i="9"/>
  <c r="O4" i="9"/>
  <c r="AC4" i="9" s="1"/>
  <c r="O5" i="9"/>
  <c r="Q5" i="9" s="1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I39" i="10"/>
  <c r="H39" i="10"/>
  <c r="G39" i="10"/>
  <c r="E39" i="10"/>
  <c r="D39" i="10"/>
  <c r="AC38" i="10"/>
  <c r="AC27" i="10"/>
  <c r="Z27" i="10"/>
  <c r="AC19" i="10"/>
  <c r="Z19" i="10"/>
  <c r="L4" i="1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I25" i="11"/>
  <c r="H25" i="11"/>
  <c r="G25" i="11"/>
  <c r="F4" i="11"/>
  <c r="F5" i="11"/>
  <c r="F6" i="11"/>
  <c r="F7" i="11"/>
  <c r="F8" i="11"/>
  <c r="F9" i="11"/>
  <c r="F10" i="11"/>
  <c r="F11" i="11"/>
  <c r="F12" i="11"/>
  <c r="F13" i="11"/>
  <c r="Z13" i="11" s="1"/>
  <c r="F14" i="11"/>
  <c r="F15" i="11"/>
  <c r="F16" i="11"/>
  <c r="F17" i="11"/>
  <c r="F18" i="11"/>
  <c r="F19" i="11"/>
  <c r="F20" i="11"/>
  <c r="F21" i="11"/>
  <c r="F22" i="11"/>
  <c r="F23" i="11"/>
  <c r="E25" i="11"/>
  <c r="D25" i="11"/>
  <c r="AC24" i="11"/>
  <c r="AC13" i="11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I25" i="12"/>
  <c r="H25" i="12"/>
  <c r="G25" i="12"/>
  <c r="F4" i="12"/>
  <c r="F5" i="12"/>
  <c r="F6" i="12"/>
  <c r="F7" i="12"/>
  <c r="F8" i="12"/>
  <c r="F9" i="12"/>
  <c r="F10" i="12"/>
  <c r="F11" i="12"/>
  <c r="F12" i="12"/>
  <c r="Z12" i="12" s="1"/>
  <c r="F13" i="12"/>
  <c r="F14" i="12"/>
  <c r="F15" i="12"/>
  <c r="F16" i="12"/>
  <c r="F17" i="12"/>
  <c r="Z17" i="12" s="1"/>
  <c r="F18" i="12"/>
  <c r="Z18" i="12" s="1"/>
  <c r="F19" i="12"/>
  <c r="Z19" i="12" s="1"/>
  <c r="F20" i="12"/>
  <c r="Z20" i="12" s="1"/>
  <c r="F21" i="12"/>
  <c r="Z21" i="12" s="1"/>
  <c r="F22" i="12"/>
  <c r="Z22" i="12" s="1"/>
  <c r="F23" i="12"/>
  <c r="E25" i="12"/>
  <c r="D25" i="12"/>
  <c r="AC24" i="12"/>
  <c r="AC22" i="12"/>
  <c r="AC21" i="12"/>
  <c r="AC18" i="12"/>
  <c r="AC17" i="12"/>
  <c r="AC14" i="12"/>
  <c r="L4" i="9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I25" i="9"/>
  <c r="H25" i="9"/>
  <c r="G25" i="9"/>
  <c r="F4" i="9"/>
  <c r="Z4" i="9" s="1"/>
  <c r="F5" i="9"/>
  <c r="F6" i="9"/>
  <c r="F7" i="9"/>
  <c r="F8" i="9"/>
  <c r="F9" i="9"/>
  <c r="F10" i="9"/>
  <c r="F11" i="9"/>
  <c r="Z11" i="9" s="1"/>
  <c r="F12" i="9"/>
  <c r="F13" i="9"/>
  <c r="F14" i="9"/>
  <c r="F15" i="9"/>
  <c r="F16" i="9"/>
  <c r="F17" i="9"/>
  <c r="F18" i="9"/>
  <c r="F19" i="9"/>
  <c r="F20" i="9"/>
  <c r="F21" i="9"/>
  <c r="F22" i="9"/>
  <c r="F23" i="9"/>
  <c r="E25" i="9"/>
  <c r="D25" i="9"/>
  <c r="AC24" i="9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I25" i="8"/>
  <c r="H25" i="8"/>
  <c r="G25" i="8"/>
  <c r="F4" i="8"/>
  <c r="F5" i="8"/>
  <c r="F6" i="8"/>
  <c r="F7" i="8"/>
  <c r="F8" i="8"/>
  <c r="Z8" i="8" s="1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E25" i="8"/>
  <c r="D25" i="8"/>
  <c r="AC24" i="8"/>
  <c r="AC16" i="8"/>
  <c r="AC9" i="8"/>
  <c r="AC8" i="8"/>
  <c r="F12" i="6"/>
  <c r="F13" i="6"/>
  <c r="F4" i="6"/>
  <c r="F6" i="7"/>
  <c r="M6" i="7" s="1"/>
  <c r="O6" i="7" s="1"/>
  <c r="F36" i="7"/>
  <c r="F37" i="7"/>
  <c r="F40" i="7"/>
  <c r="F41" i="7"/>
  <c r="Y41" i="7" s="1"/>
  <c r="M9" i="2"/>
  <c r="V9" i="2" s="1"/>
  <c r="M21" i="2"/>
  <c r="M22" i="2"/>
  <c r="Y22" i="2" s="1"/>
  <c r="M5" i="2"/>
  <c r="V5" i="2" s="1"/>
  <c r="M6" i="2"/>
  <c r="M7" i="2"/>
  <c r="M8" i="2"/>
  <c r="M10" i="2"/>
  <c r="M11" i="2"/>
  <c r="Y11" i="2" s="1"/>
  <c r="M12" i="2"/>
  <c r="Y12" i="2" s="1"/>
  <c r="M13" i="2"/>
  <c r="V13" i="2" s="1"/>
  <c r="M14" i="2"/>
  <c r="Y14" i="2" s="1"/>
  <c r="M15" i="2"/>
  <c r="M16" i="2"/>
  <c r="M17" i="2"/>
  <c r="M18" i="2"/>
  <c r="Y18" i="2" s="1"/>
  <c r="M19" i="2"/>
  <c r="V19" i="2" s="1"/>
  <c r="M20" i="2"/>
  <c r="Y20" i="2" s="1"/>
  <c r="M23" i="2"/>
  <c r="V23" i="2" s="1"/>
  <c r="O47" i="7"/>
  <c r="F47" i="7"/>
  <c r="R44" i="7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K44" i="7"/>
  <c r="I44" i="7"/>
  <c r="H44" i="7"/>
  <c r="G44" i="7"/>
  <c r="E44" i="7"/>
  <c r="D44" i="7"/>
  <c r="Y40" i="7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I25" i="6"/>
  <c r="H25" i="6"/>
  <c r="G25" i="6"/>
  <c r="F5" i="6"/>
  <c r="F6" i="6"/>
  <c r="F7" i="6"/>
  <c r="F8" i="6"/>
  <c r="F9" i="6"/>
  <c r="Z9" i="6" s="1"/>
  <c r="F10" i="6"/>
  <c r="F11" i="6"/>
  <c r="F14" i="6"/>
  <c r="F15" i="6"/>
  <c r="F16" i="6"/>
  <c r="Z16" i="6" s="1"/>
  <c r="F17" i="6"/>
  <c r="Z17" i="6" s="1"/>
  <c r="F18" i="6"/>
  <c r="F19" i="6"/>
  <c r="F20" i="6"/>
  <c r="F21" i="6"/>
  <c r="F22" i="6"/>
  <c r="F23" i="6"/>
  <c r="E25" i="6"/>
  <c r="D25" i="6"/>
  <c r="AC24" i="6"/>
  <c r="AC22" i="6"/>
  <c r="AC17" i="6"/>
  <c r="AC16" i="6"/>
  <c r="AC9" i="6"/>
  <c r="Y24" i="2"/>
  <c r="F4" i="2"/>
  <c r="F5" i="2"/>
  <c r="F6" i="2"/>
  <c r="F7" i="2"/>
  <c r="F8" i="2"/>
  <c r="V8" i="2" s="1"/>
  <c r="F9" i="2"/>
  <c r="F10" i="2"/>
  <c r="V10" i="2" s="1"/>
  <c r="F11" i="2"/>
  <c r="V11" i="2" s="1"/>
  <c r="F12" i="2"/>
  <c r="V12" i="2" s="1"/>
  <c r="F13" i="2"/>
  <c r="F14" i="2"/>
  <c r="F15" i="2"/>
  <c r="F16" i="2"/>
  <c r="V16" i="2" s="1"/>
  <c r="F17" i="2"/>
  <c r="F18" i="2"/>
  <c r="V18" i="2" s="1"/>
  <c r="F19" i="2"/>
  <c r="F20" i="2"/>
  <c r="F21" i="2"/>
  <c r="F22" i="2"/>
  <c r="F23" i="2"/>
  <c r="Y6" i="2"/>
  <c r="Y7" i="2"/>
  <c r="Y8" i="2"/>
  <c r="Y10" i="2"/>
  <c r="Y15" i="2"/>
  <c r="Y16" i="2"/>
  <c r="Y17" i="2"/>
  <c r="Y19" i="2"/>
  <c r="V15" i="2"/>
  <c r="V20" i="2"/>
  <c r="M4" i="2"/>
  <c r="V4" i="2" s="1"/>
  <c r="I25" i="2"/>
  <c r="H25" i="2"/>
  <c r="G25" i="2"/>
  <c r="E25" i="2"/>
  <c r="D25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P13" i="7" l="1"/>
  <c r="Q13" i="7"/>
  <c r="P19" i="7"/>
  <c r="Q19" i="7" s="1"/>
  <c r="Q20" i="9"/>
  <c r="V14" i="2"/>
  <c r="AC7" i="9"/>
  <c r="Q7" i="9"/>
  <c r="AC15" i="9"/>
  <c r="Q15" i="9"/>
  <c r="AC23" i="9"/>
  <c r="Q23" i="9"/>
  <c r="Q15" i="12"/>
  <c r="AC15" i="11"/>
  <c r="Q15" i="11"/>
  <c r="AC12" i="10"/>
  <c r="Q12" i="10"/>
  <c r="AC20" i="10"/>
  <c r="Q20" i="10"/>
  <c r="AC28" i="10"/>
  <c r="Q28" i="10"/>
  <c r="Z36" i="10"/>
  <c r="Q36" i="10"/>
  <c r="AC10" i="8"/>
  <c r="P10" i="8"/>
  <c r="Q10" i="8"/>
  <c r="AC18" i="8"/>
  <c r="Q18" i="8"/>
  <c r="P7" i="7"/>
  <c r="Q7" i="7"/>
  <c r="Y14" i="7"/>
  <c r="P14" i="7"/>
  <c r="Q14" i="7"/>
  <c r="P21" i="7"/>
  <c r="Q21" i="7"/>
  <c r="P28" i="7"/>
  <c r="Q28" i="7" s="1"/>
  <c r="P36" i="7"/>
  <c r="Q36" i="7"/>
  <c r="Q42" i="7"/>
  <c r="AC11" i="11"/>
  <c r="Q11" i="11"/>
  <c r="Y5" i="2"/>
  <c r="Q10" i="12"/>
  <c r="Y9" i="2"/>
  <c r="AC8" i="9"/>
  <c r="P8" i="9"/>
  <c r="Q8" i="9"/>
  <c r="AC16" i="9"/>
  <c r="P16" i="9"/>
  <c r="Q16" i="9" s="1"/>
  <c r="Q5" i="12"/>
  <c r="AC20" i="12"/>
  <c r="Q20" i="12"/>
  <c r="AC16" i="11"/>
  <c r="Q16" i="11"/>
  <c r="AC5" i="10"/>
  <c r="Q5" i="10"/>
  <c r="AC13" i="10"/>
  <c r="Q13" i="10"/>
  <c r="AC21" i="10"/>
  <c r="Q21" i="10"/>
  <c r="Z29" i="10"/>
  <c r="Q29" i="10"/>
  <c r="AC37" i="10"/>
  <c r="Q37" i="10"/>
  <c r="AC11" i="8"/>
  <c r="P11" i="8"/>
  <c r="Q11" i="8"/>
  <c r="AC19" i="8"/>
  <c r="Q19" i="8"/>
  <c r="P8" i="7"/>
  <c r="Q8" i="7" s="1"/>
  <c r="P15" i="7"/>
  <c r="Q15" i="7"/>
  <c r="Y22" i="7"/>
  <c r="P22" i="7"/>
  <c r="Q22" i="7" s="1"/>
  <c r="P29" i="7"/>
  <c r="Q29" i="7" s="1"/>
  <c r="AB37" i="7"/>
  <c r="Q37" i="7"/>
  <c r="Q9" i="12"/>
  <c r="AC10" i="11"/>
  <c r="Q10" i="11"/>
  <c r="AC20" i="8"/>
  <c r="Q20" i="8"/>
  <c r="Q9" i="7"/>
  <c r="P16" i="7"/>
  <c r="Q16" i="7" s="1"/>
  <c r="P30" i="7"/>
  <c r="Q30" i="7" s="1"/>
  <c r="P38" i="7"/>
  <c r="Q38" i="7" s="1"/>
  <c r="Q8" i="12"/>
  <c r="Q9" i="11"/>
  <c r="AC19" i="11"/>
  <c r="Q19" i="11"/>
  <c r="Q6" i="10"/>
  <c r="Q22" i="10"/>
  <c r="AC10" i="9"/>
  <c r="P10" i="9"/>
  <c r="Q10" i="9" s="1"/>
  <c r="AC18" i="9"/>
  <c r="P18" i="9"/>
  <c r="Q18" i="9" s="1"/>
  <c r="Q6" i="12"/>
  <c r="Q4" i="11"/>
  <c r="AC20" i="11"/>
  <c r="Q20" i="11"/>
  <c r="AC7" i="10"/>
  <c r="Q7" i="10"/>
  <c r="Q15" i="10"/>
  <c r="Q23" i="10"/>
  <c r="Q31" i="10"/>
  <c r="AC13" i="8"/>
  <c r="P13" i="8"/>
  <c r="Q13" i="8"/>
  <c r="Q21" i="8"/>
  <c r="Q10" i="7"/>
  <c r="P17" i="7"/>
  <c r="Q17" i="7" s="1"/>
  <c r="P23" i="7"/>
  <c r="Q23" i="7"/>
  <c r="P31" i="7"/>
  <c r="Q31" i="7"/>
  <c r="AC21" i="11"/>
  <c r="Q21" i="11"/>
  <c r="AC8" i="11"/>
  <c r="Q8" i="11"/>
  <c r="AC23" i="12"/>
  <c r="Q23" i="12"/>
  <c r="AC14" i="10"/>
  <c r="Q14" i="10"/>
  <c r="Z30" i="10"/>
  <c r="Q30" i="10"/>
  <c r="P12" i="8"/>
  <c r="Q12" i="8" s="1"/>
  <c r="AC11" i="9"/>
  <c r="P11" i="9"/>
  <c r="Q11" i="9" s="1"/>
  <c r="AC19" i="9"/>
  <c r="P19" i="9"/>
  <c r="Q19" i="9" s="1"/>
  <c r="Q7" i="12"/>
  <c r="Q5" i="11"/>
  <c r="AC22" i="11"/>
  <c r="Q22" i="11"/>
  <c r="Z8" i="10"/>
  <c r="Q8" i="10"/>
  <c r="Z16" i="10"/>
  <c r="Q16" i="10"/>
  <c r="AC32" i="10"/>
  <c r="Q32" i="10"/>
  <c r="Q14" i="8"/>
  <c r="AC22" i="8"/>
  <c r="P22" i="8"/>
  <c r="Q22" i="8" s="1"/>
  <c r="Q11" i="7"/>
  <c r="P11" i="7"/>
  <c r="Q18" i="7"/>
  <c r="P18" i="7"/>
  <c r="P24" i="7"/>
  <c r="Q24" i="7"/>
  <c r="P32" i="7"/>
  <c r="Q32" i="7" s="1"/>
  <c r="Q39" i="7"/>
  <c r="AC18" i="11"/>
  <c r="Q18" i="11"/>
  <c r="Q14" i="12"/>
  <c r="AC23" i="11"/>
  <c r="Q23" i="11"/>
  <c r="Z9" i="10"/>
  <c r="Q9" i="10"/>
  <c r="AC25" i="10"/>
  <c r="Q25" i="10"/>
  <c r="AC33" i="10"/>
  <c r="Q33" i="10"/>
  <c r="AC23" i="8"/>
  <c r="Q23" i="8"/>
  <c r="P12" i="7"/>
  <c r="Q12" i="7" s="1"/>
  <c r="P25" i="7"/>
  <c r="Q25" i="7"/>
  <c r="P33" i="7"/>
  <c r="Q33" i="7" s="1"/>
  <c r="AC17" i="11"/>
  <c r="Q17" i="11"/>
  <c r="AC9" i="9"/>
  <c r="P9" i="9"/>
  <c r="Q9" i="9" s="1"/>
  <c r="Z23" i="11"/>
  <c r="AC6" i="11"/>
  <c r="Q6" i="11"/>
  <c r="AC13" i="9"/>
  <c r="Q13" i="9"/>
  <c r="P13" i="9"/>
  <c r="AC21" i="9"/>
  <c r="Q21" i="9"/>
  <c r="Q11" i="12"/>
  <c r="AC7" i="11"/>
  <c r="Q7" i="11"/>
  <c r="Z10" i="10"/>
  <c r="Q10" i="10"/>
  <c r="AC26" i="10"/>
  <c r="Q26" i="10"/>
  <c r="AC34" i="10"/>
  <c r="Q34" i="10"/>
  <c r="P8" i="8"/>
  <c r="Q8" i="8"/>
  <c r="P16" i="8"/>
  <c r="Q16" i="8"/>
  <c r="P26" i="7"/>
  <c r="Q26" i="7" s="1"/>
  <c r="P34" i="7"/>
  <c r="Q34" i="7" s="1"/>
  <c r="AB40" i="7"/>
  <c r="P40" i="7"/>
  <c r="Q40" i="7" s="1"/>
  <c r="Q18" i="12"/>
  <c r="AC14" i="11"/>
  <c r="Q14" i="11"/>
  <c r="Q6" i="7"/>
  <c r="AC12" i="9"/>
  <c r="P12" i="9"/>
  <c r="Q12" i="9"/>
  <c r="V17" i="2"/>
  <c r="AC6" i="9"/>
  <c r="Q6" i="9"/>
  <c r="P6" i="9"/>
  <c r="AC14" i="9"/>
  <c r="Q14" i="9"/>
  <c r="AC22" i="9"/>
  <c r="P22" i="9"/>
  <c r="Q22" i="9" s="1"/>
  <c r="AC12" i="11"/>
  <c r="Q12" i="11"/>
  <c r="Z11" i="10"/>
  <c r="Q11" i="10"/>
  <c r="Z35" i="10"/>
  <c r="Q35" i="10"/>
  <c r="P9" i="8"/>
  <c r="Q9" i="8" s="1"/>
  <c r="AC17" i="8"/>
  <c r="P17" i="8"/>
  <c r="Q17" i="8"/>
  <c r="P20" i="7"/>
  <c r="Q20" i="7" s="1"/>
  <c r="P27" i="7"/>
  <c r="Q27" i="7" s="1"/>
  <c r="P35" i="7"/>
  <c r="Q35" i="7"/>
  <c r="AB41" i="7"/>
  <c r="Q41" i="7"/>
  <c r="Q17" i="12"/>
  <c r="Q13" i="11"/>
  <c r="AC6" i="12"/>
  <c r="AC7" i="12"/>
  <c r="AC15" i="12"/>
  <c r="AC5" i="12"/>
  <c r="AC10" i="12"/>
  <c r="AC19" i="12"/>
  <c r="Q19" i="12"/>
  <c r="AC13" i="12"/>
  <c r="Q13" i="12"/>
  <c r="AC11" i="12"/>
  <c r="AC16" i="12"/>
  <c r="Q16" i="12"/>
  <c r="AC9" i="12"/>
  <c r="AC12" i="12"/>
  <c r="Q12" i="12"/>
  <c r="Z15" i="12"/>
  <c r="AC4" i="12"/>
  <c r="Q4" i="12"/>
  <c r="AC8" i="12"/>
  <c r="Z13" i="12"/>
  <c r="Z5" i="12"/>
  <c r="Z7" i="11"/>
  <c r="Z14" i="11"/>
  <c r="Z8" i="11"/>
  <c r="Z16" i="11"/>
  <c r="AC5" i="11"/>
  <c r="Z15" i="11"/>
  <c r="Z20" i="10"/>
  <c r="Z5" i="10"/>
  <c r="Z12" i="10"/>
  <c r="Z21" i="10"/>
  <c r="Z37" i="10"/>
  <c r="O39" i="10"/>
  <c r="AC39" i="10" s="1"/>
  <c r="Z13" i="10"/>
  <c r="Q4" i="10"/>
  <c r="Z4" i="10"/>
  <c r="Z28" i="10"/>
  <c r="AC4" i="10"/>
  <c r="Z16" i="9"/>
  <c r="Z8" i="9"/>
  <c r="Z23" i="9"/>
  <c r="Z7" i="9"/>
  <c r="AC15" i="8"/>
  <c r="P15" i="8"/>
  <c r="Q15" i="8"/>
  <c r="AC4" i="8"/>
  <c r="Q4" i="8"/>
  <c r="Q5" i="8"/>
  <c r="AC6" i="8"/>
  <c r="Q6" i="8"/>
  <c r="AC7" i="8"/>
  <c r="Q7" i="8"/>
  <c r="Z17" i="8"/>
  <c r="Z9" i="8"/>
  <c r="Z19" i="8"/>
  <c r="Z11" i="8"/>
  <c r="Z10" i="8"/>
  <c r="Z18" i="8"/>
  <c r="F44" i="7"/>
  <c r="Z6" i="6"/>
  <c r="Z22" i="6"/>
  <c r="P10" i="6"/>
  <c r="Q10" i="6"/>
  <c r="P11" i="6"/>
  <c r="Q11" i="6" s="1"/>
  <c r="P12" i="6"/>
  <c r="Q12" i="6" s="1"/>
  <c r="P13" i="6"/>
  <c r="Q13" i="6" s="1"/>
  <c r="P14" i="6"/>
  <c r="Q14" i="6" s="1"/>
  <c r="AC15" i="6"/>
  <c r="Q15" i="6"/>
  <c r="P8" i="6"/>
  <c r="Q8" i="6"/>
  <c r="P9" i="6"/>
  <c r="Q9" i="6" s="1"/>
  <c r="AC11" i="6"/>
  <c r="AC19" i="6"/>
  <c r="Q19" i="6"/>
  <c r="Q4" i="6"/>
  <c r="AC20" i="6"/>
  <c r="Q20" i="6"/>
  <c r="AC5" i="6"/>
  <c r="Q5" i="6"/>
  <c r="AC13" i="6"/>
  <c r="AC21" i="6"/>
  <c r="Q21" i="6"/>
  <c r="AC18" i="6"/>
  <c r="Q18" i="6"/>
  <c r="AC6" i="6"/>
  <c r="Q6" i="6"/>
  <c r="Q22" i="6"/>
  <c r="AC7" i="6"/>
  <c r="Q7" i="6"/>
  <c r="AC23" i="6"/>
  <c r="Q23" i="6"/>
  <c r="AC8" i="6"/>
  <c r="Q16" i="6"/>
  <c r="AC10" i="6"/>
  <c r="Q17" i="6"/>
  <c r="Z7" i="6"/>
  <c r="Z15" i="6"/>
  <c r="Z23" i="6"/>
  <c r="AC4" i="6"/>
  <c r="Z14" i="6"/>
  <c r="F25" i="6"/>
  <c r="AB21" i="7"/>
  <c r="Y21" i="7"/>
  <c r="AB30" i="7"/>
  <c r="Y30" i="7"/>
  <c r="AB29" i="7"/>
  <c r="Y29" i="7"/>
  <c r="AB13" i="7"/>
  <c r="Y13" i="7"/>
  <c r="Y23" i="2"/>
  <c r="Y13" i="2"/>
  <c r="L25" i="12"/>
  <c r="Z17" i="9"/>
  <c r="Z22" i="10"/>
  <c r="Z12" i="8"/>
  <c r="V22" i="2"/>
  <c r="F25" i="2"/>
  <c r="F46" i="7" s="1"/>
  <c r="L25" i="8"/>
  <c r="L25" i="11"/>
  <c r="Z15" i="10"/>
  <c r="Z23" i="10"/>
  <c r="Z31" i="10"/>
  <c r="Z21" i="8"/>
  <c r="Y36" i="7"/>
  <c r="Z24" i="10"/>
  <c r="Z14" i="8"/>
  <c r="Z9" i="11"/>
  <c r="M25" i="2"/>
  <c r="Z20" i="9"/>
  <c r="Z17" i="10"/>
  <c r="Y4" i="2"/>
  <c r="L25" i="2"/>
  <c r="L39" i="10"/>
  <c r="Z18" i="10"/>
  <c r="Z16" i="8"/>
  <c r="V7" i="2"/>
  <c r="V21" i="2"/>
  <c r="Z11" i="12"/>
  <c r="Z10" i="12"/>
  <c r="Z14" i="12"/>
  <c r="Z7" i="12"/>
  <c r="Z23" i="12"/>
  <c r="Z16" i="12"/>
  <c r="Z8" i="12"/>
  <c r="Z4" i="12"/>
  <c r="Z9" i="12"/>
  <c r="Z6" i="12"/>
  <c r="O25" i="12"/>
  <c r="AC25" i="12" s="1"/>
  <c r="Z18" i="11"/>
  <c r="Z6" i="11"/>
  <c r="Z21" i="11"/>
  <c r="Z22" i="11"/>
  <c r="Z12" i="11"/>
  <c r="O25" i="11"/>
  <c r="AC4" i="11"/>
  <c r="AC9" i="11"/>
  <c r="Z17" i="11"/>
  <c r="Z10" i="11"/>
  <c r="Z5" i="11"/>
  <c r="Z11" i="11"/>
  <c r="Z20" i="11"/>
  <c r="Z4" i="11"/>
  <c r="Z19" i="11"/>
  <c r="AC11" i="10"/>
  <c r="Z25" i="10"/>
  <c r="Z34" i="10"/>
  <c r="AC18" i="10"/>
  <c r="Z26" i="10"/>
  <c r="Z32" i="10"/>
  <c r="Z6" i="10"/>
  <c r="AC6" i="10"/>
  <c r="Z7" i="10"/>
  <c r="Z14" i="10"/>
  <c r="Z15" i="9"/>
  <c r="L25" i="9"/>
  <c r="Z6" i="9"/>
  <c r="F25" i="9"/>
  <c r="Z12" i="9"/>
  <c r="AC20" i="9"/>
  <c r="Z14" i="9"/>
  <c r="Z22" i="9"/>
  <c r="Z21" i="9"/>
  <c r="Z13" i="9"/>
  <c r="O25" i="9"/>
  <c r="AC17" i="9"/>
  <c r="Z5" i="9"/>
  <c r="Z9" i="9"/>
  <c r="AC5" i="9"/>
  <c r="Z19" i="9"/>
  <c r="Z18" i="9"/>
  <c r="Z10" i="9"/>
  <c r="Z22" i="8"/>
  <c r="AC21" i="8"/>
  <c r="Z13" i="8"/>
  <c r="AC12" i="8"/>
  <c r="O25" i="8"/>
  <c r="AC5" i="8"/>
  <c r="AC14" i="8"/>
  <c r="Z4" i="8"/>
  <c r="Z6" i="8"/>
  <c r="Z20" i="8"/>
  <c r="Z5" i="8"/>
  <c r="Z23" i="8"/>
  <c r="Z15" i="8"/>
  <c r="Z7" i="8"/>
  <c r="Y37" i="7"/>
  <c r="AB36" i="7"/>
  <c r="AB22" i="7"/>
  <c r="AB14" i="7"/>
  <c r="L44" i="7"/>
  <c r="Z21" i="6"/>
  <c r="Z5" i="6"/>
  <c r="Z12" i="6"/>
  <c r="L25" i="6"/>
  <c r="O25" i="6"/>
  <c r="AC25" i="6" s="1"/>
  <c r="Z13" i="6"/>
  <c r="Z4" i="6"/>
  <c r="Z19" i="6"/>
  <c r="AC12" i="6"/>
  <c r="Z18" i="6"/>
  <c r="Z11" i="6"/>
  <c r="Z20" i="6"/>
  <c r="Z10" i="6"/>
  <c r="F45" i="7"/>
  <c r="O45" i="7"/>
  <c r="Y19" i="7"/>
  <c r="AB19" i="7"/>
  <c r="AB31" i="7"/>
  <c r="Y31" i="7"/>
  <c r="O44" i="7"/>
  <c r="AB4" i="7"/>
  <c r="Y4" i="7"/>
  <c r="AB20" i="7"/>
  <c r="Y20" i="7"/>
  <c r="AB23" i="7"/>
  <c r="Y23" i="7"/>
  <c r="AB32" i="7"/>
  <c r="Y32" i="7"/>
  <c r="AB38" i="7"/>
  <c r="Y38" i="7"/>
  <c r="AB5" i="7"/>
  <c r="Y5" i="7"/>
  <c r="AB12" i="7"/>
  <c r="Y12" i="7"/>
  <c r="Y15" i="7"/>
  <c r="AB15" i="7"/>
  <c r="AB24" i="7"/>
  <c r="Y24" i="7"/>
  <c r="AB33" i="7"/>
  <c r="Y33" i="7"/>
  <c r="O46" i="7"/>
  <c r="Y25" i="2"/>
  <c r="AB7" i="7"/>
  <c r="Y7" i="7"/>
  <c r="AB16" i="7"/>
  <c r="Y16" i="7"/>
  <c r="AB25" i="7"/>
  <c r="Y25" i="7"/>
  <c r="AB34" i="7"/>
  <c r="Y34" i="7"/>
  <c r="Y39" i="7"/>
  <c r="AB39" i="7"/>
  <c r="Y27" i="7"/>
  <c r="AB27" i="7"/>
  <c r="AB28" i="7"/>
  <c r="Y28" i="7"/>
  <c r="AB6" i="7"/>
  <c r="Y6" i="7"/>
  <c r="AB8" i="7"/>
  <c r="Y8" i="7"/>
  <c r="AB17" i="7"/>
  <c r="Y17" i="7"/>
  <c r="AB26" i="7"/>
  <c r="Y26" i="7"/>
  <c r="AB10" i="7"/>
  <c r="Y10" i="7"/>
  <c r="AB42" i="7"/>
  <c r="Y42" i="7"/>
  <c r="Y11" i="7"/>
  <c r="AB11" i="7"/>
  <c r="AB9" i="7"/>
  <c r="Y9" i="7"/>
  <c r="AB18" i="7"/>
  <c r="Y18" i="7"/>
  <c r="Y35" i="7"/>
  <c r="AB35" i="7"/>
  <c r="Z8" i="6"/>
  <c r="F25" i="11"/>
  <c r="F25" i="12"/>
  <c r="Y21" i="2"/>
  <c r="F25" i="8"/>
  <c r="V6" i="2"/>
  <c r="AC25" i="11" l="1"/>
  <c r="P25" i="11"/>
  <c r="AC25" i="9"/>
  <c r="P25" i="9"/>
  <c r="AC25" i="8"/>
  <c r="P25" i="8"/>
  <c r="F48" i="7"/>
  <c r="O48" i="7"/>
  <c r="O49" i="7" s="1"/>
  <c r="O50" i="7" s="1"/>
</calcChain>
</file>

<file path=xl/sharedStrings.xml><?xml version="1.0" encoding="utf-8"?>
<sst xmlns="http://schemas.openxmlformats.org/spreadsheetml/2006/main" count="1295" uniqueCount="351">
  <si>
    <t>VENTANAS COYOACAN</t>
  </si>
  <si>
    <t>Ventana</t>
  </si>
  <si>
    <t>Depto. Tipo</t>
  </si>
  <si>
    <t>Depto.</t>
  </si>
  <si>
    <t>Área m²</t>
  </si>
  <si>
    <t>Balcón  m²</t>
  </si>
  <si>
    <t>m² construidos</t>
  </si>
  <si>
    <t>Estudio m²</t>
  </si>
  <si>
    <t>Terraza Privada m²</t>
  </si>
  <si>
    <t>Roof Garden</t>
  </si>
  <si>
    <t>Bodega</t>
  </si>
  <si>
    <t>Metros Totales</t>
  </si>
  <si>
    <t>Precio Lista</t>
  </si>
  <si>
    <t>Cajones Est.</t>
  </si>
  <si>
    <t>A</t>
  </si>
  <si>
    <t>101A</t>
  </si>
  <si>
    <t>F</t>
  </si>
  <si>
    <t>102A</t>
  </si>
  <si>
    <t>M²</t>
  </si>
  <si>
    <t>E</t>
  </si>
  <si>
    <t>103A</t>
  </si>
  <si>
    <t>104A</t>
  </si>
  <si>
    <t>105B</t>
  </si>
  <si>
    <t>Terraza Privada</t>
  </si>
  <si>
    <t>106B</t>
  </si>
  <si>
    <t>Balcón</t>
  </si>
  <si>
    <t>107B</t>
  </si>
  <si>
    <t>Estacionamiento Extra</t>
  </si>
  <si>
    <t>201A</t>
  </si>
  <si>
    <t>202A</t>
  </si>
  <si>
    <t>203A</t>
  </si>
  <si>
    <t>3er Piso</t>
  </si>
  <si>
    <t>204A</t>
  </si>
  <si>
    <t>5to Piso PH</t>
  </si>
  <si>
    <t>205B</t>
  </si>
  <si>
    <t>206B</t>
  </si>
  <si>
    <t>207B</t>
  </si>
  <si>
    <t>208B</t>
  </si>
  <si>
    <t>301A</t>
  </si>
  <si>
    <t>302A</t>
  </si>
  <si>
    <t>303A</t>
  </si>
  <si>
    <t>304A</t>
  </si>
  <si>
    <t>305B</t>
  </si>
  <si>
    <t>306B</t>
  </si>
  <si>
    <t>307B</t>
  </si>
  <si>
    <t>308B</t>
  </si>
  <si>
    <t>401A</t>
  </si>
  <si>
    <t>402A</t>
  </si>
  <si>
    <t>403A</t>
  </si>
  <si>
    <t>404A</t>
  </si>
  <si>
    <t>405B</t>
  </si>
  <si>
    <t>406B</t>
  </si>
  <si>
    <t>407B</t>
  </si>
  <si>
    <t>408B</t>
  </si>
  <si>
    <t>PH01A</t>
  </si>
  <si>
    <t>PH02A</t>
  </si>
  <si>
    <t>PH03A</t>
  </si>
  <si>
    <t>PH04A</t>
  </si>
  <si>
    <t>PH05B</t>
  </si>
  <si>
    <t>PH06B</t>
  </si>
  <si>
    <t>PH07B</t>
  </si>
  <si>
    <t>PH08B</t>
  </si>
  <si>
    <t>Area m²</t>
  </si>
  <si>
    <t>Balcon m²</t>
  </si>
  <si>
    <t>B</t>
  </si>
  <si>
    <t>101</t>
  </si>
  <si>
    <t>D</t>
  </si>
  <si>
    <t>102</t>
  </si>
  <si>
    <t>C</t>
  </si>
  <si>
    <t>103</t>
  </si>
  <si>
    <t>104</t>
  </si>
  <si>
    <t>201</t>
  </si>
  <si>
    <t>202</t>
  </si>
  <si>
    <t>Balcon</t>
  </si>
  <si>
    <t>203</t>
  </si>
  <si>
    <t>204</t>
  </si>
  <si>
    <t>301</t>
  </si>
  <si>
    <t>302</t>
  </si>
  <si>
    <t>303</t>
  </si>
  <si>
    <t>304</t>
  </si>
  <si>
    <t>401</t>
  </si>
  <si>
    <t>402</t>
  </si>
  <si>
    <t>403</t>
  </si>
  <si>
    <t>404</t>
  </si>
  <si>
    <t>PH01</t>
  </si>
  <si>
    <t>PH02</t>
  </si>
  <si>
    <t>PH03</t>
  </si>
  <si>
    <t>PH04</t>
  </si>
  <si>
    <t>VENTANA JADE</t>
  </si>
  <si>
    <t>Jade</t>
  </si>
  <si>
    <t>num BODEGA</t>
  </si>
  <si>
    <t>FORMULA</t>
  </si>
  <si>
    <t>PRECIO VENTA</t>
  </si>
  <si>
    <t>ESTATUS</t>
  </si>
  <si>
    <t>PRECIO LISTA</t>
  </si>
  <si>
    <t>CLIENTE</t>
  </si>
  <si>
    <t>LISTA</t>
  </si>
  <si>
    <t>FECHA</t>
  </si>
  <si>
    <t>VENDEDOR</t>
  </si>
  <si>
    <t>PRECIO X M2</t>
  </si>
  <si>
    <t>Menores a 100m</t>
  </si>
  <si>
    <t>Num Bodega</t>
  </si>
  <si>
    <t>Estatus</t>
  </si>
  <si>
    <t>Lista</t>
  </si>
  <si>
    <t>Precio m2</t>
  </si>
  <si>
    <t>4to</t>
  </si>
  <si>
    <t>2do</t>
  </si>
  <si>
    <t>GP</t>
  </si>
  <si>
    <t>CONTRATO</t>
  </si>
  <si>
    <t>JULIO ENRIQUE COYOTL</t>
  </si>
  <si>
    <t>JUAN BRUNO UBIARCO</t>
  </si>
  <si>
    <t>VICENTE ALBARRAN</t>
  </si>
  <si>
    <t>ORQUIDEA GZLZ</t>
  </si>
  <si>
    <t>MC</t>
  </si>
  <si>
    <t>RC</t>
  </si>
  <si>
    <t>REC</t>
  </si>
  <si>
    <t>IN24</t>
  </si>
  <si>
    <t>NS</t>
  </si>
  <si>
    <t>GOOGLE</t>
  </si>
  <si>
    <t>TAPIAL</t>
  </si>
  <si>
    <t>WEB</t>
  </si>
  <si>
    <t>M3</t>
  </si>
  <si>
    <t>IN 24</t>
  </si>
  <si>
    <t>REF</t>
  </si>
  <si>
    <t>AH</t>
  </si>
  <si>
    <t>GALLARDETE</t>
  </si>
  <si>
    <t>JOSE LUIS PATIÑO</t>
  </si>
  <si>
    <t>ELIANA MEDRANO</t>
  </si>
  <si>
    <t>MAURO RAMIREZ</t>
  </si>
  <si>
    <t>PASEO</t>
  </si>
  <si>
    <t>NORMA DAVILA</t>
  </si>
  <si>
    <t>CARMEN DIAZ</t>
  </si>
  <si>
    <t>VOLANTE</t>
  </si>
  <si>
    <t>LUZ MA BAUTISTA</t>
  </si>
  <si>
    <t>JAVIER PEREZ GARRIDO</t>
  </si>
  <si>
    <t>GD</t>
  </si>
  <si>
    <t>DE</t>
  </si>
  <si>
    <t>JUAN CARLOS CAMACHO GODOY</t>
  </si>
  <si>
    <t>KARLA YUNUEN ULLOA</t>
  </si>
  <si>
    <t>LUIS ABEL ROMERO LOPEZ</t>
  </si>
  <si>
    <t>REFERIDO</t>
  </si>
  <si>
    <t>SP</t>
  </si>
  <si>
    <t>RODOLFO BOLAÑOS REYES</t>
  </si>
  <si>
    <t>REFORMA</t>
  </si>
  <si>
    <t>VENTANA LIMA</t>
  </si>
  <si>
    <t>VENTANA MALVA</t>
  </si>
  <si>
    <t>extra</t>
  </si>
  <si>
    <t>BODEGA</t>
  </si>
  <si>
    <t>m2 BODEGA</t>
  </si>
  <si>
    <t>LIMA</t>
  </si>
  <si>
    <t>MALVA</t>
  </si>
  <si>
    <t>WTC</t>
  </si>
  <si>
    <t>VV</t>
  </si>
  <si>
    <t>AE</t>
  </si>
  <si>
    <t>MIRANDA GUERRA</t>
  </si>
  <si>
    <t>ESPECTACULAR</t>
  </si>
  <si>
    <t>ocultar</t>
  </si>
  <si>
    <t>VICTOR AGUILAR</t>
  </si>
  <si>
    <t>CAROLINA FRAGOSO</t>
  </si>
  <si>
    <t>6</t>
  </si>
  <si>
    <t>101 A</t>
  </si>
  <si>
    <t>102 A</t>
  </si>
  <si>
    <t>103 A</t>
  </si>
  <si>
    <t>104 A</t>
  </si>
  <si>
    <t>105 B</t>
  </si>
  <si>
    <t>106 B</t>
  </si>
  <si>
    <t>107 B</t>
  </si>
  <si>
    <t>201 A</t>
  </si>
  <si>
    <t>202 A</t>
  </si>
  <si>
    <t>203 A</t>
  </si>
  <si>
    <t>204 A</t>
  </si>
  <si>
    <t>205 B</t>
  </si>
  <si>
    <t>206 B</t>
  </si>
  <si>
    <t>207 B</t>
  </si>
  <si>
    <t>MARIA GPE JAIMES</t>
  </si>
  <si>
    <t xml:space="preserve">FERNANDO CERVANTEZ </t>
  </si>
  <si>
    <t>REFE</t>
  </si>
  <si>
    <t>NIDIA COYOTE</t>
  </si>
  <si>
    <t>INM 24</t>
  </si>
  <si>
    <t>PILAR DE LOS COBOS</t>
  </si>
  <si>
    <t>MIGUEL ÁNGEL GONZÁLEZ</t>
  </si>
  <si>
    <t>nov.-16</t>
  </si>
  <si>
    <t>LA MUDI</t>
  </si>
  <si>
    <t>FERNANDO RODRIGUEZ</t>
  </si>
  <si>
    <t>MEDIO</t>
  </si>
  <si>
    <t>VERONICA ZENIL</t>
  </si>
  <si>
    <t>ARMANDO ROSANO</t>
  </si>
  <si>
    <t>GOOGLE LAMUDI</t>
  </si>
  <si>
    <t>ERNESTO CONTRERAS</t>
  </si>
  <si>
    <t>RANDY RIVAS</t>
  </si>
  <si>
    <t>ARMANDO SUBIRATS</t>
  </si>
  <si>
    <t>VENTANA AMBAR</t>
  </si>
  <si>
    <t>VENTANA CORAL</t>
  </si>
  <si>
    <t>CORAL</t>
  </si>
  <si>
    <t>AMBAR</t>
  </si>
  <si>
    <t>JORGE LUIS CRUZ BALLADO</t>
  </si>
  <si>
    <t>ANA GABY RAMIREZ</t>
  </si>
  <si>
    <t>ALVA CASTILLO</t>
  </si>
  <si>
    <t>MARÍA DE LOS ANGELES ARCINEAGA</t>
  </si>
  <si>
    <t>BRENDA TORRES TORALES</t>
  </si>
  <si>
    <t>FRANCISCO CONTRERAS</t>
  </si>
  <si>
    <t>RICARDO JOSE PEREZ VAS</t>
  </si>
  <si>
    <t>MA DEL PILAR ESCALONA</t>
  </si>
  <si>
    <t>220, 378</t>
  </si>
  <si>
    <t>312,313,</t>
  </si>
  <si>
    <t>Medio</t>
  </si>
  <si>
    <t>SANDRA PATRICIA GASPAR CARRILLO</t>
  </si>
  <si>
    <t>GUADALUPE ORTA GARCIA</t>
  </si>
  <si>
    <t>VICTOR ESTEBAN TELLO G</t>
  </si>
  <si>
    <t>ELENA DE JESUS Y MA ISABEL G</t>
  </si>
  <si>
    <t>ANA MARIA QUINTERO ROVELO</t>
  </si>
  <si>
    <t>RAUL LOZANO GUERRA</t>
  </si>
  <si>
    <t>ALFREDO LOPEZ GUTIERREZ</t>
  </si>
  <si>
    <t>CARLOS FERNANDO TRUJILLO VALDEZ</t>
  </si>
  <si>
    <t>PALOMA MARTINEZ FREGOSO</t>
  </si>
  <si>
    <t>JOSE HUMBERTO LEON TREJO</t>
  </si>
  <si>
    <t>DAISY CUEVAS</t>
  </si>
  <si>
    <t>GALIA CARRILLO ALVAREZ</t>
  </si>
  <si>
    <t>ELSA PAOLA GZLZ PEREZ</t>
  </si>
  <si>
    <t>EDUARDO GRAJEDA GERMAN</t>
  </si>
  <si>
    <t>ROSARIO TAYANARA CALVA HDZ</t>
  </si>
  <si>
    <t>MC/RC</t>
  </si>
  <si>
    <t>EDGAR ERWIN GIL GARCIA</t>
  </si>
  <si>
    <t>GLLARDETE</t>
  </si>
  <si>
    <t>INM24</t>
  </si>
  <si>
    <t>PASEOS</t>
  </si>
  <si>
    <t>RAFAEL SHIZUO HIRATA</t>
  </si>
  <si>
    <t>SILVIA LOVERA</t>
  </si>
  <si>
    <t>ESCRITURADO</t>
  </si>
  <si>
    <t>CHRISTIAN PINEDA GARCIA</t>
  </si>
  <si>
    <t>ROSA ISELA MEDINA NAVARRETE</t>
  </si>
  <si>
    <t>LAURA LETICIA ARACELI TOMAS LUYANDO</t>
  </si>
  <si>
    <t>MARTHA ALBOR VERA</t>
  </si>
  <si>
    <t>ENERO</t>
  </si>
  <si>
    <t>JOSE VICENTE GARRIDO SOTO</t>
  </si>
  <si>
    <t>JESUS PORFIRIO SOTO TELLEZ</t>
  </si>
  <si>
    <t>MC-DE</t>
  </si>
  <si>
    <t>EMMA INES VALENCIA GILVAJA</t>
  </si>
  <si>
    <t>ELSA CAROLINA LAREDO SANCHEZ</t>
  </si>
  <si>
    <t>IRASEMA ESTELA MANRIQUEZ LEZAMA</t>
  </si>
  <si>
    <t>OCULTAR</t>
  </si>
  <si>
    <t>MANUEL TRENS</t>
  </si>
  <si>
    <t>ALEJANDRO DIAZ</t>
  </si>
  <si>
    <t>EXT</t>
  </si>
  <si>
    <t>SERGIO PINEDA</t>
  </si>
  <si>
    <t>VENTANA SIENA</t>
  </si>
  <si>
    <t>SIENA</t>
  </si>
  <si>
    <t>VENTANA CAOBA</t>
  </si>
  <si>
    <t>CAOBA</t>
  </si>
  <si>
    <t>VENTANA TERRACOTA</t>
  </si>
  <si>
    <t>TERRACOTA</t>
  </si>
  <si>
    <t>301 A</t>
  </si>
  <si>
    <t>302 A</t>
  </si>
  <si>
    <t>303 A</t>
  </si>
  <si>
    <t>304 A</t>
  </si>
  <si>
    <t>305 B</t>
  </si>
  <si>
    <t>306 B</t>
  </si>
  <si>
    <t>307 B</t>
  </si>
  <si>
    <t>401 A</t>
  </si>
  <si>
    <t>402 A</t>
  </si>
  <si>
    <t>403 A</t>
  </si>
  <si>
    <t>404 A</t>
  </si>
  <si>
    <t>405 B</t>
  </si>
  <si>
    <t>406 B</t>
  </si>
  <si>
    <t>407 B</t>
  </si>
  <si>
    <t>PH1 A</t>
  </si>
  <si>
    <t>PH2 A</t>
  </si>
  <si>
    <t>PH3 A</t>
  </si>
  <si>
    <t>PH4 B</t>
  </si>
  <si>
    <t>PH5 B</t>
  </si>
  <si>
    <t>PH6 B</t>
  </si>
  <si>
    <t>PATRICIA ESTEFANIA GONZALEZ PICOS</t>
  </si>
  <si>
    <t>JOSE DIAZ CASTILLO</t>
  </si>
  <si>
    <t>JOSE GUADALUPE DOMINGUEZ BASTIDA</t>
  </si>
  <si>
    <t>ah</t>
  </si>
  <si>
    <t>LUIS ENRIQUE INDA</t>
  </si>
  <si>
    <t>OCTAVIO STEFFANI</t>
  </si>
  <si>
    <t>CARLOS ANGEL CARRILLO</t>
  </si>
  <si>
    <t>MONICA REZA</t>
  </si>
  <si>
    <t>LAMUDI</t>
  </si>
  <si>
    <t>ZYANYA DANIELA ROBLES</t>
  </si>
  <si>
    <t>CARLOS GARCIA GOMEZ</t>
  </si>
  <si>
    <t>FRANCISCO PEDRON</t>
  </si>
  <si>
    <t>MAVIS LIZBETH DE ABIEGA LEGLISSE</t>
  </si>
  <si>
    <t>MARTHA PATRICIA MORALES</t>
  </si>
  <si>
    <t>KARINA GARCIA TALAMANTES</t>
  </si>
  <si>
    <t>ALEJANDRO PIEDRA GLZ</t>
  </si>
  <si>
    <t>102 y 103</t>
  </si>
  <si>
    <t>paso</t>
  </si>
  <si>
    <t>google</t>
  </si>
  <si>
    <t>Referido</t>
  </si>
  <si>
    <t>BON-FID</t>
  </si>
  <si>
    <t>REF VOLANTE</t>
  </si>
  <si>
    <t>REF esm301</t>
  </si>
  <si>
    <t>FACE</t>
  </si>
  <si>
    <t>GERMAN PALMA SMITH</t>
  </si>
  <si>
    <t>REF MAL302</t>
  </si>
  <si>
    <t>ALMA ROSA LEON LIEVANA</t>
  </si>
  <si>
    <t>FERNANDO CRUZ GORDILLO</t>
  </si>
  <si>
    <t>MARTHA PATRICIA</t>
  </si>
  <si>
    <t>ALEJANDRA TELLO</t>
  </si>
  <si>
    <t>ROSA CONCEPCION ZARATE RUIZ</t>
  </si>
  <si>
    <t>EVANGELINA HERNANDEZ DUARTE</t>
  </si>
  <si>
    <t>ALFREDO ROSAS</t>
  </si>
  <si>
    <t>OJO  NO DEN  MT2 DE BODEGAS</t>
  </si>
  <si>
    <t>escriturado</t>
  </si>
  <si>
    <t>José Luis Rojas</t>
  </si>
  <si>
    <t>LG</t>
  </si>
  <si>
    <t>ANDRES BELLO</t>
  </si>
  <si>
    <t>APARTADO</t>
  </si>
  <si>
    <t>JUAN CARLOS LUQUEÑO</t>
  </si>
  <si>
    <t>VICTOR SARMIENTO</t>
  </si>
  <si>
    <t>MARTHA PATRICIA PEREZ</t>
  </si>
  <si>
    <t>GLORIA RIVERO</t>
  </si>
  <si>
    <t>ITEL GARCILAZO</t>
  </si>
  <si>
    <t>FRANCISCO VILLEGAS</t>
  </si>
  <si>
    <t xml:space="preserve">MC </t>
  </si>
  <si>
    <t>BERTHA CARRERA DMGZ</t>
  </si>
  <si>
    <t>ALEJANDRO ALEGRIA</t>
  </si>
  <si>
    <t>CARLOS A AMADO BURGUETE</t>
  </si>
  <si>
    <t>Google</t>
  </si>
  <si>
    <t>REF MAG</t>
  </si>
  <si>
    <t>LIBRE</t>
  </si>
  <si>
    <t>AMADO FERREIRA</t>
  </si>
  <si>
    <t>CARLOS AMADO BURGUETE</t>
  </si>
  <si>
    <t>MARZO</t>
  </si>
  <si>
    <t>PROMOCION MARZO</t>
  </si>
  <si>
    <t>Muestra</t>
  </si>
  <si>
    <t xml:space="preserve">Deyanira Ruiz </t>
  </si>
  <si>
    <t>LG AH</t>
  </si>
  <si>
    <t>INES NOGALES</t>
  </si>
  <si>
    <t>Pasando</t>
  </si>
  <si>
    <t>ROBERTO LOYO</t>
  </si>
  <si>
    <t>Promocion MARZO</t>
  </si>
  <si>
    <t>OFERTA</t>
  </si>
  <si>
    <t>VICTOR MENDOZA</t>
  </si>
  <si>
    <t>ref caoba 103</t>
  </si>
  <si>
    <t>MARZO 19</t>
  </si>
  <si>
    <t xml:space="preserve">MARZO </t>
  </si>
  <si>
    <t>19</t>
  </si>
  <si>
    <t>MARZO 18</t>
  </si>
  <si>
    <t>Lucio Nava Ramirez</t>
  </si>
  <si>
    <t>Aurora Ramos Ochoa</t>
  </si>
  <si>
    <t>AE-VV</t>
  </si>
  <si>
    <t>BLOQUEADO</t>
  </si>
  <si>
    <t>CHRISTIAN ALEJANDRO HERNANDEZ LOPEZ</t>
  </si>
  <si>
    <t>AURORA RAMOS</t>
  </si>
  <si>
    <t>CARMEN GUTIERREZ</t>
  </si>
  <si>
    <t>ADRIANA STA MARIA</t>
  </si>
  <si>
    <t>FIRMADO</t>
  </si>
  <si>
    <t>PATRICIA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</si>
</sst>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 &quot;* #,##0.00&quot; &quot;;&quot;-&quot;* #,##0.00&quot; &quot;;&quot; &quot;* &quot;-&quot;??&quot; &quot;"/>
    <numFmt numFmtId="165" formatCode="&quot; &quot;&quot;$&quot;* #,##0.00&quot; &quot;;&quot;-&quot;&quot;$&quot;* #,##0.00&quot; &quot;;&quot; &quot;&quot;$&quot;* &quot;-&quot;??&quot; &quot;"/>
    <numFmt numFmtId="166" formatCode="&quot; &quot;* #,##0&quot; &quot;;&quot;-&quot;* #,##0&quot; &quot;;&quot; &quot;* &quot;-&quot;??&quot; &quot;"/>
    <numFmt numFmtId="167" formatCode="_(* #,##0.00_);_(* \(#,##0.00\);_(* &quot;-&quot;??_);_(@_)"/>
  </numFmts>
  <fonts count="78">
    <font>
      <sz val="12"/>
      <color indexed="8"/>
      <name val="Verdana"/>
    </font>
    <font>
      <sz val="12"/>
      <color indexed="8"/>
      <name val="Verdana"/>
      <family val="2"/>
    </font>
    <font>
      <b/>
      <sz val="22"/>
      <color indexed="8"/>
      <name val="Helvetica"/>
      <family val="2"/>
    </font>
    <font>
      <sz val="11"/>
      <color indexed="8"/>
      <name val="Trebuchet MS"/>
      <family val="2"/>
    </font>
    <font>
      <sz val="11"/>
      <color indexed="8"/>
      <name val="Trebuchet MS Bold"/>
    </font>
    <font>
      <sz val="12"/>
      <color indexed="8"/>
      <name val="Trebuchet MS"/>
      <family val="2"/>
    </font>
    <font>
      <sz val="11"/>
      <color rgb="FF00A86B"/>
      <name val="Trebuchet MS"/>
      <family val="2"/>
    </font>
    <font>
      <sz val="11"/>
      <color indexed="8"/>
      <name val="Trebuchet MS"/>
      <family val="2"/>
    </font>
    <font>
      <sz val="9"/>
      <color indexed="8"/>
      <name val="Trebuchet MS Bold"/>
    </font>
    <font>
      <sz val="8"/>
      <color indexed="8"/>
      <name val="Trebuchet MS Bold"/>
    </font>
    <font>
      <sz val="10"/>
      <color indexed="8"/>
      <name val="Verdana"/>
      <family val="2"/>
    </font>
    <font>
      <sz val="10"/>
      <color indexed="8"/>
      <name val="Trebuchet MS Bold"/>
    </font>
    <font>
      <sz val="10"/>
      <color indexed="8"/>
      <name val="Trebuchet MS"/>
      <family val="2"/>
    </font>
    <font>
      <sz val="8"/>
      <name val="Verdana"/>
      <family val="2"/>
    </font>
    <font>
      <sz val="12"/>
      <color indexed="8"/>
      <name val="Verdana"/>
      <family val="2"/>
    </font>
    <font>
      <sz val="12"/>
      <color indexed="8"/>
      <name val="Trebuchet MS"/>
      <family val="2"/>
    </font>
    <font>
      <sz val="20"/>
      <color rgb="FFFF0000"/>
      <name val="Verdana"/>
      <family val="2"/>
    </font>
    <font>
      <b/>
      <sz val="22"/>
      <color rgb="FFFF0000"/>
      <name val="Helvetica"/>
      <family val="2"/>
    </font>
    <font>
      <sz val="11"/>
      <name val="Trebuchet MS"/>
      <family val="2"/>
    </font>
    <font>
      <u/>
      <sz val="12"/>
      <color theme="10"/>
      <name val="Verdana"/>
      <family val="2"/>
    </font>
    <font>
      <u/>
      <sz val="12"/>
      <color theme="11"/>
      <name val="Verdana"/>
      <family val="2"/>
    </font>
    <font>
      <sz val="11"/>
      <color rgb="FF008000"/>
      <name val="Trebuchet MS"/>
      <family val="2"/>
    </font>
    <font>
      <sz val="12"/>
      <name val="Trebuchet MS"/>
      <family val="2"/>
    </font>
    <font>
      <sz val="10"/>
      <name val="Trebuchet MS"/>
      <family val="2"/>
    </font>
    <font>
      <sz val="12"/>
      <name val="Verdana"/>
      <family val="2"/>
    </font>
    <font>
      <sz val="11"/>
      <color theme="5"/>
      <name val="Trebuchet MS"/>
      <family val="2"/>
    </font>
    <font>
      <b/>
      <sz val="8"/>
      <color rgb="FFFF0000"/>
      <name val="Helvetica"/>
      <family val="2"/>
    </font>
    <font>
      <sz val="11"/>
      <color rgb="FFFF0000"/>
      <name val="Trebuchet MS"/>
      <family val="2"/>
    </font>
    <font>
      <sz val="11"/>
      <color rgb="FF000000"/>
      <name val="Trebuchet MS"/>
      <family val="2"/>
    </font>
    <font>
      <sz val="12"/>
      <color rgb="FF000000"/>
      <name val="Verdana"/>
      <family val="2"/>
    </font>
    <font>
      <sz val="11"/>
      <color theme="9" tint="-0.249977111117893"/>
      <name val="Trebuchet MS"/>
      <family val="2"/>
    </font>
    <font>
      <sz val="11"/>
      <color theme="9" tint="-0.499984740745262"/>
      <name val="Trebuchet MS"/>
      <family val="2"/>
    </font>
    <font>
      <b/>
      <sz val="18"/>
      <color rgb="FFFF0000"/>
      <name val="Helvetica"/>
      <family val="2"/>
    </font>
    <font>
      <sz val="6"/>
      <name val="Trebuchet MS"/>
      <family val="2"/>
    </font>
    <font>
      <b/>
      <sz val="9"/>
      <color indexed="8"/>
      <name val="Helvetica"/>
      <family val="2"/>
    </font>
    <font>
      <sz val="9"/>
      <name val="Trebuchet MS"/>
      <family val="2"/>
    </font>
    <font>
      <sz val="9"/>
      <color indexed="8"/>
      <name val="Trebuchet MS"/>
      <family val="2"/>
    </font>
    <font>
      <sz val="9"/>
      <color indexed="8"/>
      <name val="Verdana"/>
      <family val="2"/>
    </font>
    <font>
      <b/>
      <sz val="20"/>
      <color rgb="FFFF0000"/>
      <name val="Helvetica"/>
      <family val="2"/>
    </font>
    <font>
      <sz val="9"/>
      <color rgb="FF000000"/>
      <name val="Verdana"/>
      <family val="2"/>
    </font>
    <font>
      <sz val="8"/>
      <color indexed="8"/>
      <name val="Verdana"/>
      <family val="2"/>
    </font>
    <font>
      <sz val="9"/>
      <color rgb="FFFF0000"/>
      <name val="Trebuchet MS"/>
      <family val="2"/>
    </font>
    <font>
      <b/>
      <sz val="8"/>
      <color indexed="8"/>
      <name val="Helvetica"/>
      <family val="2"/>
    </font>
    <font>
      <sz val="8"/>
      <name val="Trebuchet MS"/>
      <family val="2"/>
    </font>
    <font>
      <sz val="8"/>
      <color indexed="8"/>
      <name val="Trebuchet MS"/>
      <family val="2"/>
    </font>
    <font>
      <sz val="8"/>
      <color rgb="FF000000"/>
      <name val="Verdana"/>
      <family val="2"/>
    </font>
    <font>
      <b/>
      <sz val="14"/>
      <color rgb="FFFF0000"/>
      <name val="Helvetica"/>
      <family val="2"/>
    </font>
    <font>
      <sz val="12"/>
      <color rgb="FFFF0000"/>
      <name val="Trebuchet MS"/>
      <family val="2"/>
    </font>
    <font>
      <b/>
      <sz val="22"/>
      <name val="Helvetica"/>
      <family val="2"/>
    </font>
    <font>
      <sz val="11"/>
      <color theme="0"/>
      <name val="Trebuchet MS"/>
      <family val="2"/>
    </font>
    <font>
      <sz val="12"/>
      <color rgb="FFFF6600"/>
      <name val="Trebuchet MS"/>
      <family val="2"/>
    </font>
    <font>
      <sz val="12"/>
      <color rgb="FF000000"/>
      <name val="Trebuchet MS"/>
      <family val="2"/>
    </font>
    <font>
      <b/>
      <sz val="12"/>
      <color indexed="8"/>
      <name val="Trebuchet MS"/>
      <family val="2"/>
    </font>
    <font>
      <b/>
      <sz val="12"/>
      <color rgb="FFFF0000"/>
      <name val="Trebuchet MS"/>
      <family val="2"/>
    </font>
    <font>
      <sz val="12"/>
      <color theme="2" tint="-0.499984740745262"/>
      <name val="Trebuchet MS"/>
      <family val="2"/>
    </font>
    <font>
      <sz val="12"/>
      <color rgb="FF800000"/>
      <name val="Trebuchet MS"/>
      <family val="2"/>
    </font>
    <font>
      <b/>
      <sz val="12"/>
      <name val="Trebuchet MS"/>
      <family val="2"/>
    </font>
    <font>
      <sz val="12"/>
      <color theme="5" tint="-0.249977111117893"/>
      <name val="Trebuchet MS"/>
      <family val="2"/>
    </font>
    <font>
      <b/>
      <u/>
      <sz val="12"/>
      <color rgb="FFFF0000"/>
      <name val="Trebuchet MS"/>
      <family val="2"/>
    </font>
    <font>
      <b/>
      <sz val="16"/>
      <color indexed="8"/>
      <name val="Trebuchet MS"/>
      <family val="2"/>
    </font>
    <font>
      <b/>
      <sz val="24"/>
      <color indexed="8"/>
      <name val="Trebuchet MS"/>
      <family val="2"/>
    </font>
    <font>
      <b/>
      <sz val="18"/>
      <color indexed="8"/>
      <name val="Trebuchet MS"/>
      <family val="2"/>
    </font>
    <font>
      <b/>
      <sz val="18"/>
      <color rgb="FFFF0000"/>
      <name val="Helvetica"/>
      <family val="2"/>
    </font>
    <font>
      <sz val="11"/>
      <name val="Trebuchet MS"/>
      <family val="2"/>
    </font>
    <font>
      <sz val="11"/>
      <color rgb="FF000000"/>
      <name val="Trebuchet MS"/>
      <family val="2"/>
    </font>
    <font>
      <sz val="8"/>
      <color indexed="8"/>
      <name val="Trebuchet MS"/>
      <family val="2"/>
    </font>
    <font>
      <sz val="12"/>
      <name val="Trebuchet MS"/>
      <family val="2"/>
    </font>
    <font>
      <sz val="12"/>
      <color rgb="FF000000"/>
      <name val="Trebuchet MS"/>
      <family val="2"/>
    </font>
    <font>
      <b/>
      <sz val="18"/>
      <color rgb="FFFF0000"/>
      <name val="Trebuchet MS"/>
      <family val="2"/>
    </font>
    <font>
      <b/>
      <sz val="12"/>
      <color rgb="FFFF0000"/>
      <name val="Trebuchet MS"/>
      <family val="2"/>
    </font>
    <font>
      <b/>
      <sz val="16"/>
      <color rgb="FFFF0000"/>
      <name val="Trebuchet MS"/>
      <family val="2"/>
    </font>
    <font>
      <b/>
      <sz val="20"/>
      <color rgb="FFFF0000"/>
      <name val="Helvetica"/>
      <family val="2"/>
    </font>
    <font>
      <sz val="8"/>
      <color indexed="8"/>
      <name val="Verdana"/>
      <family val="2"/>
    </font>
    <font>
      <sz val="8"/>
      <color rgb="FF000000"/>
      <name val="Verdana"/>
      <family val="2"/>
    </font>
    <font>
      <b/>
      <sz val="20"/>
      <color rgb="FFFF0000"/>
      <name val="Trebuchet MS"/>
      <family val="2"/>
    </font>
    <font>
      <sz val="12"/>
      <color theme="1"/>
      <name val="Trebuchet MS"/>
      <family val="2"/>
    </font>
    <font>
      <sz val="12"/>
      <color theme="0"/>
      <name val="Trebuchet MS"/>
      <family val="2"/>
    </font>
    <font>
      <b/>
      <sz val="12"/>
      <color theme="0"/>
      <name val="Trebuchet MS"/>
      <family val="2"/>
    </font>
  </fonts>
  <fills count="1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</fills>
  <borders count="66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 style="medium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12"/>
      </left>
      <right/>
      <top style="medium">
        <color indexed="12"/>
      </top>
      <bottom style="thin">
        <color indexed="8"/>
      </bottom>
      <diagonal/>
    </border>
    <border>
      <left style="medium">
        <color indexed="12"/>
      </left>
      <right/>
      <top style="thin">
        <color indexed="8"/>
      </top>
      <bottom style="thin">
        <color indexed="8"/>
      </bottom>
      <diagonal/>
    </border>
    <border>
      <left style="medium">
        <color indexed="12"/>
      </left>
      <right/>
      <top style="thin">
        <color indexed="8"/>
      </top>
      <bottom style="medium">
        <color indexed="12"/>
      </bottom>
      <diagonal/>
    </border>
    <border>
      <left style="thin">
        <color indexed="8"/>
      </left>
      <right/>
      <top style="medium">
        <color indexed="12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52">
    <xf numFmtId="0" fontId="0" fillId="0" borderId="0" applyNumberFormat="0" applyFill="0" applyBorder="0" applyProtection="0">
      <alignment vertical="top" wrapText="1"/>
    </xf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 wrapText="1"/>
    </xf>
    <xf numFmtId="0" fontId="20" fillId="0" borderId="0" applyNumberFormat="0" applyFill="0" applyBorder="0" applyAlignment="0" applyProtection="0">
      <alignment vertical="top" wrapText="1"/>
    </xf>
    <xf numFmtId="0" fontId="19" fillId="0" borderId="0" applyNumberFormat="0" applyFill="0" applyBorder="0" applyAlignment="0" applyProtection="0">
      <alignment vertical="top" wrapText="1"/>
    </xf>
    <xf numFmtId="0" fontId="20" fillId="0" borderId="0" applyNumberFormat="0" applyFill="0" applyBorder="0" applyAlignment="0" applyProtection="0">
      <alignment vertical="top" wrapText="1"/>
    </xf>
    <xf numFmtId="0" fontId="19" fillId="0" borderId="0" applyNumberFormat="0" applyFill="0" applyBorder="0" applyAlignment="0" applyProtection="0">
      <alignment vertical="top" wrapText="1"/>
    </xf>
    <xf numFmtId="0" fontId="20" fillId="0" borderId="0" applyNumberFormat="0" applyFill="0" applyBorder="0" applyAlignment="0" applyProtection="0">
      <alignment vertical="top" wrapText="1"/>
    </xf>
    <xf numFmtId="0" fontId="19" fillId="0" borderId="0" applyNumberFormat="0" applyFill="0" applyBorder="0" applyAlignment="0" applyProtection="0">
      <alignment vertical="top" wrapText="1"/>
    </xf>
    <xf numFmtId="0" fontId="20" fillId="0" borderId="0" applyNumberFormat="0" applyFill="0" applyBorder="0" applyAlignment="0" applyProtection="0">
      <alignment vertical="top" wrapText="1"/>
    </xf>
    <xf numFmtId="0" fontId="19" fillId="0" borderId="0" applyNumberFormat="0" applyFill="0" applyBorder="0" applyAlignment="0" applyProtection="0">
      <alignment vertical="top" wrapText="1"/>
    </xf>
    <xf numFmtId="0" fontId="20" fillId="0" borderId="0" applyNumberFormat="0" applyFill="0" applyBorder="0" applyAlignment="0" applyProtection="0">
      <alignment vertical="top" wrapText="1"/>
    </xf>
    <xf numFmtId="0" fontId="19" fillId="0" borderId="0" applyNumberFormat="0" applyFill="0" applyBorder="0" applyAlignment="0" applyProtection="0">
      <alignment vertical="top" wrapText="1"/>
    </xf>
    <xf numFmtId="0" fontId="20" fillId="0" borderId="0" applyNumberFormat="0" applyFill="0" applyBorder="0" applyAlignment="0" applyProtection="0">
      <alignment vertical="top" wrapText="1"/>
    </xf>
    <xf numFmtId="0" fontId="19" fillId="0" borderId="0" applyNumberFormat="0" applyFill="0" applyBorder="0" applyAlignment="0" applyProtection="0">
      <alignment vertical="top" wrapText="1"/>
    </xf>
    <xf numFmtId="0" fontId="20" fillId="0" borderId="0" applyNumberFormat="0" applyFill="0" applyBorder="0" applyAlignment="0" applyProtection="0">
      <alignment vertical="top" wrapText="1"/>
    </xf>
    <xf numFmtId="0" fontId="19" fillId="0" borderId="0" applyNumberFormat="0" applyFill="0" applyBorder="0" applyAlignment="0" applyProtection="0">
      <alignment vertical="top" wrapText="1"/>
    </xf>
    <xf numFmtId="0" fontId="20" fillId="0" borderId="0" applyNumberFormat="0" applyFill="0" applyBorder="0" applyAlignment="0" applyProtection="0">
      <alignment vertical="top" wrapText="1"/>
    </xf>
    <xf numFmtId="0" fontId="19" fillId="0" borderId="0" applyNumberFormat="0" applyFill="0" applyBorder="0" applyAlignment="0" applyProtection="0">
      <alignment vertical="top" wrapText="1"/>
    </xf>
    <xf numFmtId="0" fontId="20" fillId="0" borderId="0" applyNumberFormat="0" applyFill="0" applyBorder="0" applyAlignment="0" applyProtection="0">
      <alignment vertical="top" wrapText="1"/>
    </xf>
    <xf numFmtId="0" fontId="19" fillId="0" borderId="0" applyNumberFormat="0" applyFill="0" applyBorder="0" applyAlignment="0" applyProtection="0">
      <alignment vertical="top" wrapText="1"/>
    </xf>
    <xf numFmtId="0" fontId="20" fillId="0" borderId="0" applyNumberFormat="0" applyFill="0" applyBorder="0" applyAlignment="0" applyProtection="0">
      <alignment vertical="top" wrapText="1"/>
    </xf>
    <xf numFmtId="0" fontId="19" fillId="0" borderId="0" applyNumberFormat="0" applyFill="0" applyBorder="0" applyAlignment="0" applyProtection="0">
      <alignment vertical="top" wrapText="1"/>
    </xf>
    <xf numFmtId="0" fontId="20" fillId="0" borderId="0" applyNumberFormat="0" applyFill="0" applyBorder="0" applyAlignment="0" applyProtection="0">
      <alignment vertical="top" wrapText="1"/>
    </xf>
    <xf numFmtId="0" fontId="19" fillId="0" borderId="0" applyNumberFormat="0" applyFill="0" applyBorder="0" applyAlignment="0" applyProtection="0">
      <alignment vertical="top" wrapText="1"/>
    </xf>
    <xf numFmtId="0" fontId="20" fillId="0" borderId="0" applyNumberFormat="0" applyFill="0" applyBorder="0" applyAlignment="0" applyProtection="0">
      <alignment vertical="top" wrapText="1"/>
    </xf>
    <xf numFmtId="0" fontId="19" fillId="0" borderId="0" applyNumberFormat="0" applyFill="0" applyBorder="0" applyAlignment="0" applyProtection="0">
      <alignment vertical="top" wrapText="1"/>
    </xf>
    <xf numFmtId="0" fontId="20" fillId="0" borderId="0" applyNumberFormat="0" applyFill="0" applyBorder="0" applyAlignment="0" applyProtection="0">
      <alignment vertical="top" wrapText="1"/>
    </xf>
    <xf numFmtId="0" fontId="19" fillId="0" borderId="0" applyNumberFormat="0" applyFill="0" applyBorder="0" applyAlignment="0" applyProtection="0">
      <alignment vertical="top" wrapText="1"/>
    </xf>
    <xf numFmtId="0" fontId="20" fillId="0" borderId="0" applyNumberFormat="0" applyFill="0" applyBorder="0" applyAlignment="0" applyProtection="0">
      <alignment vertical="top" wrapText="1"/>
    </xf>
    <xf numFmtId="0" fontId="19" fillId="0" borderId="0" applyNumberFormat="0" applyFill="0" applyBorder="0" applyAlignment="0" applyProtection="0">
      <alignment vertical="top" wrapText="1"/>
    </xf>
    <xf numFmtId="0" fontId="20" fillId="0" borderId="0" applyNumberFormat="0" applyFill="0" applyBorder="0" applyAlignment="0" applyProtection="0">
      <alignment vertical="top" wrapText="1"/>
    </xf>
    <xf numFmtId="0" fontId="19" fillId="0" borderId="0" applyNumberFormat="0" applyFill="0" applyBorder="0" applyAlignment="0" applyProtection="0">
      <alignment vertical="top" wrapText="1"/>
    </xf>
    <xf numFmtId="0" fontId="20" fillId="0" borderId="0" applyNumberFormat="0" applyFill="0" applyBorder="0" applyAlignment="0" applyProtection="0">
      <alignment vertical="top" wrapText="1"/>
    </xf>
    <xf numFmtId="0" fontId="19" fillId="0" borderId="0" applyNumberFormat="0" applyFill="0" applyBorder="0" applyAlignment="0" applyProtection="0">
      <alignment vertical="top" wrapText="1"/>
    </xf>
    <xf numFmtId="0" fontId="20" fillId="0" borderId="0" applyNumberFormat="0" applyFill="0" applyBorder="0" applyAlignment="0" applyProtection="0">
      <alignment vertical="top" wrapText="1"/>
    </xf>
    <xf numFmtId="0" fontId="19" fillId="0" borderId="0" applyNumberFormat="0" applyFill="0" applyBorder="0" applyAlignment="0" applyProtection="0">
      <alignment vertical="top" wrapText="1"/>
    </xf>
    <xf numFmtId="0" fontId="20" fillId="0" borderId="0" applyNumberFormat="0" applyFill="0" applyBorder="0" applyAlignment="0" applyProtection="0">
      <alignment vertical="top" wrapText="1"/>
    </xf>
    <xf numFmtId="0" fontId="19" fillId="0" borderId="0" applyNumberFormat="0" applyFill="0" applyBorder="0" applyAlignment="0" applyProtection="0">
      <alignment vertical="top" wrapText="1"/>
    </xf>
    <xf numFmtId="0" fontId="20" fillId="0" borderId="0" applyNumberFormat="0" applyFill="0" applyBorder="0" applyAlignment="0" applyProtection="0">
      <alignment vertical="top" wrapText="1"/>
    </xf>
    <xf numFmtId="0" fontId="19" fillId="0" borderId="0" applyNumberFormat="0" applyFill="0" applyBorder="0" applyAlignment="0" applyProtection="0">
      <alignment vertical="top" wrapText="1"/>
    </xf>
    <xf numFmtId="0" fontId="20" fillId="0" borderId="0" applyNumberFormat="0" applyFill="0" applyBorder="0" applyAlignment="0" applyProtection="0">
      <alignment vertical="top" wrapText="1"/>
    </xf>
    <xf numFmtId="0" fontId="19" fillId="0" borderId="0" applyNumberFormat="0" applyFill="0" applyBorder="0" applyAlignment="0" applyProtection="0">
      <alignment vertical="top" wrapText="1"/>
    </xf>
    <xf numFmtId="0" fontId="20" fillId="0" borderId="0" applyNumberFormat="0" applyFill="0" applyBorder="0" applyAlignment="0" applyProtection="0">
      <alignment vertical="top" wrapText="1"/>
    </xf>
    <xf numFmtId="0" fontId="19" fillId="0" borderId="0" applyNumberFormat="0" applyFill="0" applyBorder="0" applyAlignment="0" applyProtection="0">
      <alignment vertical="top" wrapText="1"/>
    </xf>
    <xf numFmtId="0" fontId="20" fillId="0" borderId="0" applyNumberFormat="0" applyFill="0" applyBorder="0" applyAlignment="0" applyProtection="0">
      <alignment vertical="top" wrapText="1"/>
    </xf>
    <xf numFmtId="0" fontId="19" fillId="0" borderId="0" applyNumberFormat="0" applyFill="0" applyBorder="0" applyAlignment="0" applyProtection="0">
      <alignment vertical="top" wrapText="1"/>
    </xf>
    <xf numFmtId="0" fontId="20" fillId="0" borderId="0" applyNumberFormat="0" applyFill="0" applyBorder="0" applyAlignment="0" applyProtection="0">
      <alignment vertical="top" wrapText="1"/>
    </xf>
    <xf numFmtId="0" fontId="19" fillId="0" borderId="0" applyNumberFormat="0" applyFill="0" applyBorder="0" applyAlignment="0" applyProtection="0">
      <alignment vertical="top" wrapText="1"/>
    </xf>
    <xf numFmtId="0" fontId="20" fillId="0" borderId="0" applyNumberFormat="0" applyFill="0" applyBorder="0" applyAlignment="0" applyProtection="0">
      <alignment vertical="top" wrapText="1"/>
    </xf>
    <xf numFmtId="0" fontId="20" fillId="0" borderId="0" applyNumberFormat="0" applyFill="0" applyBorder="0" applyAlignment="0" applyProtection="0">
      <alignment vertical="top" wrapText="1"/>
    </xf>
  </cellStyleXfs>
  <cellXfs count="791">
    <xf numFmtId="0" fontId="0" fillId="0" borderId="0" xfId="0">
      <alignment vertical="top" wrapText="1"/>
    </xf>
    <xf numFmtId="1" fontId="3" fillId="0" borderId="6" xfId="0" applyNumberFormat="1" applyFont="1" applyBorder="1" applyAlignment="1"/>
    <xf numFmtId="0" fontId="4" fillId="2" borderId="7" xfId="0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/>
    <xf numFmtId="164" fontId="3" fillId="0" borderId="11" xfId="0" applyNumberFormat="1" applyFont="1" applyBorder="1" applyAlignment="1"/>
    <xf numFmtId="165" fontId="3" fillId="0" borderId="11" xfId="0" applyNumberFormat="1" applyFont="1" applyBorder="1" applyAlignment="1"/>
    <xf numFmtId="165" fontId="5" fillId="0" borderId="6" xfId="0" applyNumberFormat="1" applyFont="1" applyBorder="1" applyAlignment="1"/>
    <xf numFmtId="0" fontId="1" fillId="0" borderId="0" xfId="0" applyFont="1">
      <alignment vertical="top" wrapText="1"/>
    </xf>
    <xf numFmtId="0" fontId="2" fillId="0" borderId="1" xfId="0" applyFont="1" applyBorder="1" applyAlignment="1">
      <alignment horizontal="left" vertical="center"/>
    </xf>
    <xf numFmtId="1" fontId="2" fillId="0" borderId="2" xfId="0" applyNumberFormat="1" applyFont="1" applyBorder="1" applyAlignment="1">
      <alignment horizontal="left" vertical="center"/>
    </xf>
    <xf numFmtId="1" fontId="2" fillId="0" borderId="3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" fontId="2" fillId="0" borderId="5" xfId="0" applyNumberFormat="1" applyFont="1" applyBorder="1" applyAlignment="1">
      <alignment horizontal="left" vertical="center"/>
    </xf>
    <xf numFmtId="1" fontId="3" fillId="0" borderId="3" xfId="0" applyNumberFormat="1" applyFont="1" applyBorder="1" applyAlignment="1"/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6" xfId="0" applyNumberFormat="1" applyFont="1" applyBorder="1" applyAlignment="1"/>
    <xf numFmtId="165" fontId="3" fillId="0" borderId="6" xfId="0" applyNumberFormat="1" applyFont="1" applyBorder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44" fontId="10" fillId="0" borderId="0" xfId="1" applyFont="1" applyAlignment="1">
      <alignment vertical="top" wrapText="1"/>
    </xf>
    <xf numFmtId="1" fontId="4" fillId="2" borderId="7" xfId="0" applyNumberFormat="1" applyFont="1" applyFill="1" applyBorder="1" applyAlignment="1">
      <alignment horizontal="center" vertical="center" wrapText="1"/>
    </xf>
    <xf numFmtId="1" fontId="1" fillId="0" borderId="0" xfId="0" applyNumberFormat="1" applyFont="1">
      <alignment vertical="top" wrapText="1"/>
    </xf>
    <xf numFmtId="1" fontId="9" fillId="2" borderId="7" xfId="0" applyNumberFormat="1" applyFont="1" applyFill="1" applyBorder="1" applyAlignment="1">
      <alignment horizontal="center" vertical="center" wrapText="1"/>
    </xf>
    <xf numFmtId="0" fontId="14" fillId="0" borderId="0" xfId="0" applyFont="1">
      <alignment vertical="top" wrapText="1"/>
    </xf>
    <xf numFmtId="43" fontId="3" fillId="0" borderId="6" xfId="2" applyFont="1" applyBorder="1"/>
    <xf numFmtId="43" fontId="1" fillId="0" borderId="0" xfId="2" applyAlignment="1">
      <alignment vertical="top" wrapText="1"/>
    </xf>
    <xf numFmtId="0" fontId="1" fillId="3" borderId="0" xfId="0" applyFont="1" applyFill="1">
      <alignment vertical="top" wrapText="1"/>
    </xf>
    <xf numFmtId="1" fontId="5" fillId="3" borderId="8" xfId="0" applyNumberFormat="1" applyFont="1" applyFill="1" applyBorder="1" applyAlignment="1">
      <alignment horizontal="center"/>
    </xf>
    <xf numFmtId="1" fontId="5" fillId="3" borderId="6" xfId="0" applyNumberFormat="1" applyFont="1" applyFill="1" applyBorder="1" applyAlignment="1"/>
    <xf numFmtId="43" fontId="3" fillId="3" borderId="6" xfId="2" applyFont="1" applyFill="1" applyBorder="1"/>
    <xf numFmtId="0" fontId="0" fillId="3" borderId="0" xfId="0" applyFill="1">
      <alignment vertical="top" wrapText="1"/>
    </xf>
    <xf numFmtId="164" fontId="3" fillId="4" borderId="10" xfId="0" applyNumberFormat="1" applyFont="1" applyFill="1" applyBorder="1" applyAlignment="1">
      <alignment horizontal="center" vertical="top" wrapText="1"/>
    </xf>
    <xf numFmtId="164" fontId="3" fillId="4" borderId="9" xfId="0" applyNumberFormat="1" applyFont="1" applyFill="1" applyBorder="1" applyAlignment="1">
      <alignment horizontal="center" vertical="top" wrapText="1"/>
    </xf>
    <xf numFmtId="165" fontId="3" fillId="4" borderId="9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center" wrapText="1"/>
    </xf>
    <xf numFmtId="164" fontId="3" fillId="4" borderId="9" xfId="0" applyNumberFormat="1" applyFont="1" applyFill="1" applyBorder="1" applyAlignment="1">
      <alignment horizontal="center"/>
    </xf>
    <xf numFmtId="164" fontId="3" fillId="4" borderId="10" xfId="0" applyNumberFormat="1" applyFont="1" applyFill="1" applyBorder="1" applyAlignment="1">
      <alignment horizontal="center"/>
    </xf>
    <xf numFmtId="165" fontId="3" fillId="4" borderId="7" xfId="0" applyNumberFormat="1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1" fontId="3" fillId="4" borderId="13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 wrapText="1"/>
    </xf>
    <xf numFmtId="165" fontId="3" fillId="4" borderId="10" xfId="0" applyNumberFormat="1" applyFont="1" applyFill="1" applyBorder="1" applyAlignment="1">
      <alignment horizontal="center"/>
    </xf>
    <xf numFmtId="1" fontId="3" fillId="4" borderId="10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/>
    </xf>
    <xf numFmtId="164" fontId="3" fillId="4" borderId="7" xfId="0" applyNumberFormat="1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/>
    </xf>
    <xf numFmtId="166" fontId="3" fillId="4" borderId="9" xfId="0" applyNumberFormat="1" applyFont="1" applyFill="1" applyBorder="1" applyAlignment="1">
      <alignment horizontal="center" vertical="top" wrapText="1"/>
    </xf>
    <xf numFmtId="166" fontId="3" fillId="4" borderId="10" xfId="0" applyNumberFormat="1" applyFont="1" applyFill="1" applyBorder="1" applyAlignment="1">
      <alignment horizontal="center" vertical="top" wrapText="1"/>
    </xf>
    <xf numFmtId="166" fontId="3" fillId="4" borderId="7" xfId="0" applyNumberFormat="1" applyFont="1" applyFill="1" applyBorder="1" applyAlignment="1">
      <alignment horizontal="center" vertical="top" wrapText="1"/>
    </xf>
    <xf numFmtId="166" fontId="3" fillId="4" borderId="9" xfId="0" applyNumberFormat="1" applyFont="1" applyFill="1" applyBorder="1" applyAlignment="1">
      <alignment horizontal="center"/>
    </xf>
    <xf numFmtId="166" fontId="3" fillId="4" borderId="10" xfId="0" applyNumberFormat="1" applyFont="1" applyFill="1" applyBorder="1" applyAlignment="1">
      <alignment horizontal="center"/>
    </xf>
    <xf numFmtId="1" fontId="17" fillId="0" borderId="2" xfId="0" applyNumberFormat="1" applyFont="1" applyBorder="1" applyAlignment="1">
      <alignment horizontal="left" vertical="center"/>
    </xf>
    <xf numFmtId="43" fontId="3" fillId="4" borderId="6" xfId="2" applyFont="1" applyFill="1" applyBorder="1"/>
    <xf numFmtId="0" fontId="1" fillId="4" borderId="0" xfId="0" applyFont="1" applyFill="1">
      <alignment vertical="top" wrapText="1"/>
    </xf>
    <xf numFmtId="0" fontId="0" fillId="4" borderId="0" xfId="0" applyFill="1">
      <alignment vertical="top" wrapText="1"/>
    </xf>
    <xf numFmtId="0" fontId="6" fillId="4" borderId="9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0" fontId="5" fillId="4" borderId="6" xfId="0" applyFont="1" applyFill="1" applyBorder="1" applyAlignment="1"/>
    <xf numFmtId="0" fontId="6" fillId="4" borderId="7" xfId="0" applyFont="1" applyFill="1" applyBorder="1" applyAlignment="1">
      <alignment horizontal="center" vertical="top" wrapText="1"/>
    </xf>
    <xf numFmtId="164" fontId="3" fillId="4" borderId="19" xfId="0" applyNumberFormat="1" applyFont="1" applyFill="1" applyBorder="1" applyAlignment="1">
      <alignment horizontal="center"/>
    </xf>
    <xf numFmtId="1" fontId="3" fillId="4" borderId="7" xfId="0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left" vertical="center"/>
    </xf>
    <xf numFmtId="14" fontId="2" fillId="0" borderId="5" xfId="0" applyNumberFormat="1" applyFont="1" applyBorder="1" applyAlignment="1">
      <alignment horizontal="left" vertical="center"/>
    </xf>
    <xf numFmtId="14" fontId="4" fillId="2" borderId="7" xfId="0" applyNumberFormat="1" applyFont="1" applyFill="1" applyBorder="1" applyAlignment="1">
      <alignment horizontal="center" vertical="center" wrapText="1"/>
    </xf>
    <xf numFmtId="14" fontId="3" fillId="4" borderId="9" xfId="0" applyNumberFormat="1" applyFont="1" applyFill="1" applyBorder="1" applyAlignment="1">
      <alignment horizontal="center"/>
    </xf>
    <xf numFmtId="14" fontId="3" fillId="4" borderId="10" xfId="0" applyNumberFormat="1" applyFont="1" applyFill="1" applyBorder="1" applyAlignment="1">
      <alignment horizontal="center"/>
    </xf>
    <xf numFmtId="14" fontId="3" fillId="4" borderId="7" xfId="0" applyNumberFormat="1" applyFont="1" applyFill="1" applyBorder="1" applyAlignment="1">
      <alignment horizontal="center"/>
    </xf>
    <xf numFmtId="14" fontId="3" fillId="0" borderId="11" xfId="0" applyNumberFormat="1" applyFont="1" applyBorder="1" applyAlignment="1"/>
    <xf numFmtId="14" fontId="3" fillId="0" borderId="6" xfId="0" applyNumberFormat="1" applyFont="1" applyBorder="1" applyAlignment="1"/>
    <xf numFmtId="14" fontId="1" fillId="0" borderId="0" xfId="0" applyNumberFormat="1" applyFont="1">
      <alignment vertical="top" wrapText="1"/>
    </xf>
    <xf numFmtId="0" fontId="6" fillId="3" borderId="9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 vertical="top" wrapText="1"/>
    </xf>
    <xf numFmtId="1" fontId="3" fillId="3" borderId="9" xfId="0" applyNumberFormat="1" applyFont="1" applyFill="1" applyBorder="1" applyAlignment="1">
      <alignment horizontal="center"/>
    </xf>
    <xf numFmtId="14" fontId="3" fillId="3" borderId="9" xfId="0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 vertical="top" wrapText="1"/>
    </xf>
    <xf numFmtId="166" fontId="3" fillId="3" borderId="10" xfId="0" applyNumberFormat="1" applyFont="1" applyFill="1" applyBorder="1" applyAlignment="1">
      <alignment horizontal="center" vertical="top" wrapText="1"/>
    </xf>
    <xf numFmtId="1" fontId="3" fillId="3" borderId="10" xfId="0" applyNumberFormat="1" applyFont="1" applyFill="1" applyBorder="1" applyAlignment="1">
      <alignment horizontal="center"/>
    </xf>
    <xf numFmtId="14" fontId="3" fillId="3" borderId="10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/>
    </xf>
    <xf numFmtId="164" fontId="3" fillId="3" borderId="7" xfId="0" applyNumberFormat="1" applyFont="1" applyFill="1" applyBorder="1" applyAlignment="1">
      <alignment horizontal="center" vertical="top" wrapText="1"/>
    </xf>
    <xf numFmtId="166" fontId="3" fillId="3" borderId="7" xfId="0" applyNumberFormat="1" applyFont="1" applyFill="1" applyBorder="1" applyAlignment="1">
      <alignment horizontal="center" vertical="top" wrapText="1"/>
    </xf>
    <xf numFmtId="1" fontId="3" fillId="3" borderId="7" xfId="0" applyNumberFormat="1" applyFont="1" applyFill="1" applyBorder="1" applyAlignment="1">
      <alignment horizontal="center"/>
    </xf>
    <xf numFmtId="14" fontId="3" fillId="3" borderId="7" xfId="0" applyNumberFormat="1" applyFont="1" applyFill="1" applyBorder="1" applyAlignment="1">
      <alignment horizontal="center"/>
    </xf>
    <xf numFmtId="166" fontId="3" fillId="3" borderId="9" xfId="0" applyNumberFormat="1" applyFont="1" applyFill="1" applyBorder="1" applyAlignment="1">
      <alignment horizontal="center"/>
    </xf>
    <xf numFmtId="166" fontId="3" fillId="3" borderId="10" xfId="0" applyNumberFormat="1" applyFont="1" applyFill="1" applyBorder="1" applyAlignment="1">
      <alignment horizontal="center"/>
    </xf>
    <xf numFmtId="44" fontId="3" fillId="3" borderId="9" xfId="1" applyFont="1" applyFill="1" applyBorder="1" applyAlignment="1">
      <alignment horizontal="center"/>
    </xf>
    <xf numFmtId="165" fontId="5" fillId="3" borderId="8" xfId="0" applyNumberFormat="1" applyFont="1" applyFill="1" applyBorder="1" applyAlignment="1">
      <alignment horizontal="center"/>
    </xf>
    <xf numFmtId="0" fontId="5" fillId="3" borderId="6" xfId="0" applyFont="1" applyFill="1" applyBorder="1" applyAlignment="1"/>
    <xf numFmtId="0" fontId="5" fillId="3" borderId="8" xfId="0" applyFont="1" applyFill="1" applyBorder="1" applyAlignment="1">
      <alignment horizontal="center"/>
    </xf>
    <xf numFmtId="0" fontId="15" fillId="3" borderId="6" xfId="0" applyFont="1" applyFill="1" applyBorder="1" applyAlignment="1"/>
    <xf numFmtId="1" fontId="3" fillId="3" borderId="8" xfId="0" applyNumberFormat="1" applyFont="1" applyFill="1" applyBorder="1" applyAlignment="1"/>
    <xf numFmtId="1" fontId="3" fillId="3" borderId="6" xfId="0" applyNumberFormat="1" applyFont="1" applyFill="1" applyBorder="1" applyAlignment="1"/>
    <xf numFmtId="0" fontId="3" fillId="3" borderId="10" xfId="0" applyFont="1" applyFill="1" applyBorder="1" applyAlignment="1">
      <alignment horizontal="center"/>
    </xf>
    <xf numFmtId="1" fontId="3" fillId="3" borderId="0" xfId="0" applyNumberFormat="1" applyFont="1" applyFill="1" applyAlignment="1"/>
    <xf numFmtId="0" fontId="1" fillId="0" borderId="0" xfId="0" applyFont="1" applyAlignment="1">
      <alignment horizontal="center" vertical="top" wrapText="1"/>
    </xf>
    <xf numFmtId="0" fontId="18" fillId="3" borderId="10" xfId="0" applyFont="1" applyFill="1" applyBorder="1" applyAlignment="1">
      <alignment horizontal="center"/>
    </xf>
    <xf numFmtId="1" fontId="3" fillId="3" borderId="11" xfId="0" applyNumberFormat="1" applyFont="1" applyFill="1" applyBorder="1" applyAlignment="1"/>
    <xf numFmtId="164" fontId="3" fillId="3" borderId="11" xfId="0" applyNumberFormat="1" applyFont="1" applyFill="1" applyBorder="1" applyAlignment="1"/>
    <xf numFmtId="165" fontId="3" fillId="3" borderId="11" xfId="0" applyNumberFormat="1" applyFont="1" applyFill="1" applyBorder="1" applyAlignment="1"/>
    <xf numFmtId="164" fontId="5" fillId="3" borderId="6" xfId="0" applyNumberFormat="1" applyFont="1" applyFill="1" applyBorder="1" applyAlignment="1"/>
    <xf numFmtId="1" fontId="5" fillId="3" borderId="6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 vertical="top" wrapText="1"/>
    </xf>
    <xf numFmtId="44" fontId="10" fillId="3" borderId="0" xfId="1" applyFont="1" applyFill="1" applyAlignment="1">
      <alignment vertical="top" wrapText="1"/>
    </xf>
    <xf numFmtId="43" fontId="1" fillId="3" borderId="0" xfId="2" applyFill="1" applyAlignment="1">
      <alignment vertical="top" wrapText="1"/>
    </xf>
    <xf numFmtId="0" fontId="14" fillId="3" borderId="0" xfId="0" applyFont="1" applyFill="1">
      <alignment vertical="top" wrapText="1"/>
    </xf>
    <xf numFmtId="0" fontId="18" fillId="3" borderId="7" xfId="0" applyFont="1" applyFill="1" applyBorder="1" applyAlignment="1">
      <alignment horizontal="center" vertical="top" wrapText="1"/>
    </xf>
    <xf numFmtId="164" fontId="18" fillId="3" borderId="7" xfId="0" applyNumberFormat="1" applyFont="1" applyFill="1" applyBorder="1" applyAlignment="1">
      <alignment horizontal="center" vertical="top" wrapText="1"/>
    </xf>
    <xf numFmtId="1" fontId="18" fillId="3" borderId="7" xfId="0" applyNumberFormat="1" applyFont="1" applyFill="1" applyBorder="1" applyAlignment="1">
      <alignment horizontal="center"/>
    </xf>
    <xf numFmtId="164" fontId="18" fillId="3" borderId="9" xfId="0" applyNumberFormat="1" applyFont="1" applyFill="1" applyBorder="1" applyAlignment="1">
      <alignment horizontal="center" vertical="top" wrapText="1"/>
    </xf>
    <xf numFmtId="1" fontId="18" fillId="3" borderId="9" xfId="0" applyNumberFormat="1" applyFont="1" applyFill="1" applyBorder="1" applyAlignment="1">
      <alignment horizontal="center"/>
    </xf>
    <xf numFmtId="165" fontId="5" fillId="5" borderId="8" xfId="0" applyNumberFormat="1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 vertical="top" wrapText="1"/>
    </xf>
    <xf numFmtId="0" fontId="18" fillId="3" borderId="10" xfId="0" applyFont="1" applyFill="1" applyBorder="1" applyAlignment="1">
      <alignment horizontal="center" vertical="center" wrapText="1"/>
    </xf>
    <xf numFmtId="164" fontId="18" fillId="3" borderId="10" xfId="0" applyNumberFormat="1" applyFont="1" applyFill="1" applyBorder="1" applyAlignment="1">
      <alignment horizontal="center"/>
    </xf>
    <xf numFmtId="164" fontId="18" fillId="3" borderId="10" xfId="0" applyNumberFormat="1" applyFont="1" applyFill="1" applyBorder="1" applyAlignment="1">
      <alignment horizontal="center" vertical="top" wrapText="1"/>
    </xf>
    <xf numFmtId="166" fontId="18" fillId="3" borderId="10" xfId="0" applyNumberFormat="1" applyFont="1" applyFill="1" applyBorder="1" applyAlignment="1">
      <alignment horizontal="center"/>
    </xf>
    <xf numFmtId="165" fontId="5" fillId="3" borderId="10" xfId="0" applyNumberFormat="1" applyFont="1" applyFill="1" applyBorder="1" applyAlignment="1">
      <alignment horizontal="center"/>
    </xf>
    <xf numFmtId="1" fontId="18" fillId="3" borderId="10" xfId="0" applyNumberFormat="1" applyFont="1" applyFill="1" applyBorder="1" applyAlignment="1">
      <alignment horizontal="center"/>
    </xf>
    <xf numFmtId="14" fontId="18" fillId="3" borderId="10" xfId="0" applyNumberFormat="1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left" vertical="center"/>
    </xf>
    <xf numFmtId="1" fontId="2" fillId="3" borderId="5" xfId="0" applyNumberFormat="1" applyFont="1" applyFill="1" applyBorder="1" applyAlignment="1">
      <alignment horizontal="left" vertical="center"/>
    </xf>
    <xf numFmtId="165" fontId="5" fillId="3" borderId="6" xfId="0" applyNumberFormat="1" applyFont="1" applyFill="1" applyBorder="1" applyAlignment="1"/>
    <xf numFmtId="0" fontId="21" fillId="3" borderId="9" xfId="0" applyFont="1" applyFill="1" applyBorder="1" applyAlignment="1">
      <alignment horizontal="center" vertical="top" wrapText="1"/>
    </xf>
    <xf numFmtId="166" fontId="18" fillId="3" borderId="10" xfId="0" applyNumberFormat="1" applyFont="1" applyFill="1" applyBorder="1" applyAlignment="1">
      <alignment horizontal="center" vertical="top" wrapText="1"/>
    </xf>
    <xf numFmtId="164" fontId="18" fillId="3" borderId="10" xfId="0" applyNumberFormat="1" applyFont="1" applyFill="1" applyBorder="1" applyAlignment="1">
      <alignment horizontal="center" vertical="center" wrapText="1"/>
    </xf>
    <xf numFmtId="165" fontId="22" fillId="3" borderId="9" xfId="0" applyNumberFormat="1" applyFont="1" applyFill="1" applyBorder="1" applyAlignment="1">
      <alignment horizontal="center"/>
    </xf>
    <xf numFmtId="0" fontId="22" fillId="3" borderId="8" xfId="0" applyFont="1" applyFill="1" applyBorder="1" applyAlignment="1">
      <alignment horizontal="center"/>
    </xf>
    <xf numFmtId="0" fontId="22" fillId="3" borderId="6" xfId="0" applyFont="1" applyFill="1" applyBorder="1" applyAlignment="1"/>
    <xf numFmtId="0" fontId="24" fillId="3" borderId="0" xfId="0" applyFont="1" applyFill="1">
      <alignment vertical="top" wrapText="1"/>
    </xf>
    <xf numFmtId="1" fontId="18" fillId="3" borderId="6" xfId="0" applyNumberFormat="1" applyFont="1" applyFill="1" applyBorder="1" applyAlignment="1"/>
    <xf numFmtId="1" fontId="22" fillId="3" borderId="8" xfId="0" applyNumberFormat="1" applyFont="1" applyFill="1" applyBorder="1" applyAlignment="1">
      <alignment horizontal="center"/>
    </xf>
    <xf numFmtId="1" fontId="22" fillId="3" borderId="6" xfId="0" applyNumberFormat="1" applyFont="1" applyFill="1" applyBorder="1" applyAlignment="1"/>
    <xf numFmtId="164" fontId="18" fillId="3" borderId="7" xfId="0" applyNumberFormat="1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164" fontId="3" fillId="3" borderId="18" xfId="0" applyNumberFormat="1" applyFont="1" applyFill="1" applyBorder="1" applyAlignment="1">
      <alignment horizontal="center"/>
    </xf>
    <xf numFmtId="164" fontId="3" fillId="3" borderId="19" xfId="0" applyNumberFormat="1" applyFont="1" applyFill="1" applyBorder="1" applyAlignment="1">
      <alignment horizontal="center"/>
    </xf>
    <xf numFmtId="165" fontId="22" fillId="3" borderId="10" xfId="0" applyNumberFormat="1" applyFont="1" applyFill="1" applyBorder="1" applyAlignment="1">
      <alignment horizontal="center"/>
    </xf>
    <xf numFmtId="164" fontId="18" fillId="3" borderId="14" xfId="0" applyNumberFormat="1" applyFont="1" applyFill="1" applyBorder="1" applyAlignment="1">
      <alignment horizontal="center" vertical="top" wrapText="1"/>
    </xf>
    <xf numFmtId="164" fontId="18" fillId="3" borderId="13" xfId="0" applyNumberFormat="1" applyFont="1" applyFill="1" applyBorder="1" applyAlignment="1">
      <alignment horizontal="center" vertical="top" wrapText="1"/>
    </xf>
    <xf numFmtId="164" fontId="18" fillId="3" borderId="15" xfId="0" applyNumberFormat="1" applyFont="1" applyFill="1" applyBorder="1" applyAlignment="1">
      <alignment horizontal="center" vertical="top" wrapText="1"/>
    </xf>
    <xf numFmtId="0" fontId="18" fillId="3" borderId="14" xfId="0" applyFont="1" applyFill="1" applyBorder="1" applyAlignment="1">
      <alignment horizontal="center" vertical="top" wrapText="1"/>
    </xf>
    <xf numFmtId="166" fontId="18" fillId="3" borderId="7" xfId="0" applyNumberFormat="1" applyFont="1" applyFill="1" applyBorder="1" applyAlignment="1">
      <alignment horizontal="center" vertical="top" wrapText="1"/>
    </xf>
    <xf numFmtId="0" fontId="18" fillId="4" borderId="7" xfId="0" applyFont="1" applyFill="1" applyBorder="1" applyAlignment="1">
      <alignment horizontal="center" vertical="top" wrapText="1"/>
    </xf>
    <xf numFmtId="0" fontId="18" fillId="4" borderId="7" xfId="0" applyFont="1" applyFill="1" applyBorder="1" applyAlignment="1">
      <alignment horizontal="center" vertical="center" wrapText="1"/>
    </xf>
    <xf numFmtId="164" fontId="18" fillId="4" borderId="7" xfId="0" applyNumberFormat="1" applyFont="1" applyFill="1" applyBorder="1" applyAlignment="1">
      <alignment horizontal="center"/>
    </xf>
    <xf numFmtId="164" fontId="18" fillId="4" borderId="7" xfId="0" applyNumberFormat="1" applyFont="1" applyFill="1" applyBorder="1" applyAlignment="1">
      <alignment horizontal="center" vertical="top" wrapText="1"/>
    </xf>
    <xf numFmtId="166" fontId="18" fillId="4" borderId="7" xfId="0" applyNumberFormat="1" applyFont="1" applyFill="1" applyBorder="1" applyAlignment="1">
      <alignment horizontal="center" vertical="top" wrapText="1"/>
    </xf>
    <xf numFmtId="165" fontId="18" fillId="4" borderId="7" xfId="0" applyNumberFormat="1" applyFont="1" applyFill="1" applyBorder="1" applyAlignment="1">
      <alignment horizontal="center"/>
    </xf>
    <xf numFmtId="1" fontId="18" fillId="4" borderId="7" xfId="0" applyNumberFormat="1" applyFont="1" applyFill="1" applyBorder="1" applyAlignment="1">
      <alignment horizontal="center"/>
    </xf>
    <xf numFmtId="14" fontId="18" fillId="4" borderId="7" xfId="0" applyNumberFormat="1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 vertical="top" wrapText="1"/>
    </xf>
    <xf numFmtId="0" fontId="18" fillId="4" borderId="9" xfId="0" applyFont="1" applyFill="1" applyBorder="1" applyAlignment="1">
      <alignment horizontal="center" vertical="center" wrapText="1"/>
    </xf>
    <xf numFmtId="164" fontId="18" fillId="4" borderId="9" xfId="0" applyNumberFormat="1" applyFont="1" applyFill="1" applyBorder="1" applyAlignment="1">
      <alignment horizontal="center"/>
    </xf>
    <xf numFmtId="164" fontId="18" fillId="4" borderId="9" xfId="0" applyNumberFormat="1" applyFont="1" applyFill="1" applyBorder="1" applyAlignment="1">
      <alignment horizontal="center" vertical="top" wrapText="1"/>
    </xf>
    <xf numFmtId="166" fontId="18" fillId="4" borderId="9" xfId="0" applyNumberFormat="1" applyFont="1" applyFill="1" applyBorder="1" applyAlignment="1">
      <alignment horizontal="center" vertical="top" wrapText="1"/>
    </xf>
    <xf numFmtId="165" fontId="18" fillId="4" borderId="9" xfId="0" applyNumberFormat="1" applyFont="1" applyFill="1" applyBorder="1" applyAlignment="1">
      <alignment horizontal="center"/>
    </xf>
    <xf numFmtId="1" fontId="18" fillId="4" borderId="9" xfId="0" applyNumberFormat="1" applyFont="1" applyFill="1" applyBorder="1" applyAlignment="1">
      <alignment horizontal="center"/>
    </xf>
    <xf numFmtId="14" fontId="18" fillId="4" borderId="9" xfId="0" applyNumberFormat="1" applyFont="1" applyFill="1" applyBorder="1" applyAlignment="1">
      <alignment horizontal="center"/>
    </xf>
    <xf numFmtId="0" fontId="25" fillId="3" borderId="9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center" vertical="center" wrapText="1"/>
    </xf>
    <xf numFmtId="1" fontId="5" fillId="5" borderId="6" xfId="0" applyNumberFormat="1" applyFont="1" applyFill="1" applyBorder="1" applyAlignment="1"/>
    <xf numFmtId="1" fontId="3" fillId="5" borderId="6" xfId="0" applyNumberFormat="1" applyFont="1" applyFill="1" applyBorder="1" applyAlignment="1"/>
    <xf numFmtId="1" fontId="17" fillId="0" borderId="5" xfId="0" applyNumberFormat="1" applyFont="1" applyBorder="1" applyAlignment="1">
      <alignment horizontal="left" vertical="center"/>
    </xf>
    <xf numFmtId="165" fontId="22" fillId="5" borderId="8" xfId="0" applyNumberFormat="1" applyFont="1" applyFill="1" applyBorder="1" applyAlignment="1">
      <alignment horizontal="center"/>
    </xf>
    <xf numFmtId="0" fontId="21" fillId="4" borderId="9" xfId="0" applyFont="1" applyFill="1" applyBorder="1" applyAlignment="1">
      <alignment horizontal="center" vertical="top" wrapText="1"/>
    </xf>
    <xf numFmtId="165" fontId="5" fillId="4" borderId="10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top" wrapText="1"/>
    </xf>
    <xf numFmtId="164" fontId="3" fillId="4" borderId="10" xfId="0" applyNumberFormat="1" applyFont="1" applyFill="1" applyBorder="1" applyAlignment="1">
      <alignment horizontal="center" vertical="center" wrapText="1"/>
    </xf>
    <xf numFmtId="17" fontId="3" fillId="4" borderId="10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top" wrapText="1"/>
    </xf>
    <xf numFmtId="164" fontId="3" fillId="4" borderId="9" xfId="0" applyNumberFormat="1" applyFont="1" applyFill="1" applyBorder="1" applyAlignment="1">
      <alignment horizontal="center" vertical="center" wrapText="1"/>
    </xf>
    <xf numFmtId="165" fontId="5" fillId="4" borderId="9" xfId="0" applyNumberFormat="1" applyFont="1" applyFill="1" applyBorder="1" applyAlignment="1">
      <alignment horizontal="center"/>
    </xf>
    <xf numFmtId="17" fontId="3" fillId="4" borderId="9" xfId="0" applyNumberFormat="1" applyFont="1" applyFill="1" applyBorder="1" applyAlignment="1">
      <alignment horizontal="center"/>
    </xf>
    <xf numFmtId="0" fontId="18" fillId="4" borderId="10" xfId="0" applyFont="1" applyFill="1" applyBorder="1" applyAlignment="1">
      <alignment horizontal="center"/>
    </xf>
    <xf numFmtId="49" fontId="3" fillId="4" borderId="10" xfId="0" applyNumberFormat="1" applyFont="1" applyFill="1" applyBorder="1" applyAlignment="1">
      <alignment horizontal="center"/>
    </xf>
    <xf numFmtId="164" fontId="18" fillId="4" borderId="10" xfId="0" applyNumberFormat="1" applyFont="1" applyFill="1" applyBorder="1" applyAlignment="1">
      <alignment horizontal="center" vertical="center" wrapText="1"/>
    </xf>
    <xf numFmtId="164" fontId="3" fillId="4" borderId="18" xfId="0" applyNumberFormat="1" applyFont="1" applyFill="1" applyBorder="1" applyAlignment="1">
      <alignment horizontal="center"/>
    </xf>
    <xf numFmtId="0" fontId="18" fillId="4" borderId="10" xfId="0" applyFont="1" applyFill="1" applyBorder="1" applyAlignment="1">
      <alignment horizontal="center" vertical="top" wrapText="1"/>
    </xf>
    <xf numFmtId="0" fontId="18" fillId="4" borderId="10" xfId="0" applyFont="1" applyFill="1" applyBorder="1" applyAlignment="1">
      <alignment horizontal="center" vertical="center" wrapText="1"/>
    </xf>
    <xf numFmtId="164" fontId="18" fillId="4" borderId="10" xfId="0" applyNumberFormat="1" applyFont="1" applyFill="1" applyBorder="1" applyAlignment="1">
      <alignment horizontal="center"/>
    </xf>
    <xf numFmtId="164" fontId="18" fillId="4" borderId="10" xfId="0" applyNumberFormat="1" applyFont="1" applyFill="1" applyBorder="1" applyAlignment="1">
      <alignment horizontal="center" vertical="top" wrapText="1"/>
    </xf>
    <xf numFmtId="166" fontId="18" fillId="4" borderId="10" xfId="0" applyNumberFormat="1" applyFont="1" applyFill="1" applyBorder="1" applyAlignment="1">
      <alignment horizontal="center"/>
    </xf>
    <xf numFmtId="165" fontId="18" fillId="4" borderId="10" xfId="0" applyNumberFormat="1" applyFont="1" applyFill="1" applyBorder="1" applyAlignment="1">
      <alignment horizontal="center"/>
    </xf>
    <xf numFmtId="1" fontId="18" fillId="4" borderId="10" xfId="0" applyNumberFormat="1" applyFont="1" applyFill="1" applyBorder="1" applyAlignment="1">
      <alignment horizontal="center"/>
    </xf>
    <xf numFmtId="14" fontId="18" fillId="4" borderId="10" xfId="0" applyNumberFormat="1" applyFont="1" applyFill="1" applyBorder="1" applyAlignment="1">
      <alignment horizontal="center"/>
    </xf>
    <xf numFmtId="0" fontId="27" fillId="3" borderId="9" xfId="0" applyFont="1" applyFill="1" applyBorder="1" applyAlignment="1">
      <alignment horizontal="center" vertical="top" wrapText="1"/>
    </xf>
    <xf numFmtId="49" fontId="3" fillId="4" borderId="7" xfId="0" applyNumberFormat="1" applyFont="1" applyFill="1" applyBorder="1" applyAlignment="1">
      <alignment horizontal="center"/>
    </xf>
    <xf numFmtId="0" fontId="0" fillId="4" borderId="13" xfId="0" applyFill="1" applyBorder="1">
      <alignment vertical="top" wrapText="1"/>
    </xf>
    <xf numFmtId="49" fontId="28" fillId="7" borderId="30" xfId="0" applyNumberFormat="1" applyFont="1" applyFill="1" applyBorder="1" applyAlignment="1">
      <alignment horizontal="center"/>
    </xf>
    <xf numFmtId="49" fontId="28" fillId="7" borderId="31" xfId="0" applyNumberFormat="1" applyFont="1" applyFill="1" applyBorder="1" applyAlignment="1">
      <alignment horizontal="center"/>
    </xf>
    <xf numFmtId="1" fontId="28" fillId="7" borderId="32" xfId="0" applyNumberFormat="1" applyFont="1" applyFill="1" applyBorder="1" applyAlignment="1">
      <alignment horizontal="center"/>
    </xf>
    <xf numFmtId="14" fontId="28" fillId="7" borderId="32" xfId="0" applyNumberFormat="1" applyFont="1" applyFill="1" applyBorder="1" applyAlignment="1">
      <alignment horizontal="center"/>
    </xf>
    <xf numFmtId="49" fontId="28" fillId="7" borderId="32" xfId="0" applyNumberFormat="1" applyFont="1" applyFill="1" applyBorder="1" applyAlignment="1">
      <alignment horizontal="center"/>
    </xf>
    <xf numFmtId="0" fontId="29" fillId="7" borderId="21" xfId="0" applyFont="1" applyFill="1" applyBorder="1">
      <alignment vertical="top" wrapText="1"/>
    </xf>
    <xf numFmtId="49" fontId="28" fillId="7" borderId="33" xfId="0" applyNumberFormat="1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 vertical="top" wrapText="1"/>
    </xf>
    <xf numFmtId="17" fontId="3" fillId="4" borderId="23" xfId="0" applyNumberFormat="1" applyFont="1" applyFill="1" applyBorder="1" applyAlignment="1">
      <alignment horizontal="center"/>
    </xf>
    <xf numFmtId="166" fontId="18" fillId="4" borderId="10" xfId="0" applyNumberFormat="1" applyFont="1" applyFill="1" applyBorder="1" applyAlignment="1">
      <alignment horizontal="center" vertical="top" wrapText="1"/>
    </xf>
    <xf numFmtId="165" fontId="22" fillId="4" borderId="9" xfId="0" applyNumberFormat="1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1" fillId="3" borderId="2" xfId="0" applyFont="1" applyFill="1" applyBorder="1">
      <alignment vertical="top" wrapText="1"/>
    </xf>
    <xf numFmtId="1" fontId="2" fillId="3" borderId="2" xfId="0" applyNumberFormat="1" applyFont="1" applyFill="1" applyBorder="1" applyAlignment="1">
      <alignment horizontal="center" vertical="center" wrapText="1"/>
    </xf>
    <xf numFmtId="0" fontId="16" fillId="3" borderId="2" xfId="0" applyFont="1" applyFill="1" applyBorder="1">
      <alignment vertical="top" wrapText="1"/>
    </xf>
    <xf numFmtId="0" fontId="1" fillId="3" borderId="2" xfId="0" applyFont="1" applyFill="1" applyBorder="1" applyAlignment="1">
      <alignment horizontal="center" vertical="top" wrapText="1"/>
    </xf>
    <xf numFmtId="44" fontId="10" fillId="3" borderId="2" xfId="1" applyFont="1" applyFill="1" applyBorder="1" applyAlignment="1">
      <alignment vertical="top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17" fillId="3" borderId="5" xfId="0" applyNumberFormat="1" applyFont="1" applyFill="1" applyBorder="1" applyAlignment="1">
      <alignment horizontal="center" vertical="center" wrapText="1"/>
    </xf>
    <xf numFmtId="43" fontId="1" fillId="3" borderId="2" xfId="2" applyFill="1" applyBorder="1" applyAlignment="1">
      <alignment vertical="top" wrapText="1"/>
    </xf>
    <xf numFmtId="43" fontId="3" fillId="3" borderId="1" xfId="2" applyFont="1" applyFill="1" applyBorder="1"/>
    <xf numFmtId="43" fontId="18" fillId="3" borderId="1" xfId="2" applyFont="1" applyFill="1" applyBorder="1"/>
    <xf numFmtId="165" fontId="3" fillId="0" borderId="34" xfId="0" applyNumberFormat="1" applyFont="1" applyBorder="1" applyAlignment="1"/>
    <xf numFmtId="0" fontId="4" fillId="6" borderId="7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44" fontId="11" fillId="3" borderId="35" xfId="1" applyFont="1" applyFill="1" applyBorder="1" applyAlignment="1">
      <alignment horizontal="center" vertical="center" wrapText="1"/>
    </xf>
    <xf numFmtId="44" fontId="23" fillId="3" borderId="35" xfId="1" applyFont="1" applyFill="1" applyBorder="1" applyAlignment="1">
      <alignment horizontal="center"/>
    </xf>
    <xf numFmtId="44" fontId="12" fillId="3" borderId="35" xfId="1" applyFont="1" applyFill="1" applyBorder="1" applyAlignment="1">
      <alignment horizontal="center"/>
    </xf>
    <xf numFmtId="44" fontId="12" fillId="3" borderId="35" xfId="1" applyFont="1" applyFill="1" applyBorder="1"/>
    <xf numFmtId="1" fontId="18" fillId="3" borderId="13" xfId="0" applyNumberFormat="1" applyFont="1" applyFill="1" applyBorder="1" applyAlignment="1">
      <alignment horizontal="center"/>
    </xf>
    <xf numFmtId="0" fontId="9" fillId="6" borderId="36" xfId="0" applyFont="1" applyFill="1" applyBorder="1" applyAlignment="1">
      <alignment horizontal="center" vertical="center" wrapText="1"/>
    </xf>
    <xf numFmtId="1" fontId="18" fillId="3" borderId="14" xfId="0" applyNumberFormat="1" applyFont="1" applyFill="1" applyBorder="1" applyAlignment="1">
      <alignment horizontal="center"/>
    </xf>
    <xf numFmtId="1" fontId="18" fillId="3" borderId="36" xfId="0" applyNumberFormat="1" applyFont="1" applyFill="1" applyBorder="1" applyAlignment="1">
      <alignment horizontal="center"/>
    </xf>
    <xf numFmtId="49" fontId="3" fillId="4" borderId="38" xfId="0" applyNumberFormat="1" applyFont="1" applyFill="1" applyBorder="1" applyAlignment="1">
      <alignment horizontal="center"/>
    </xf>
    <xf numFmtId="49" fontId="3" fillId="4" borderId="39" xfId="0" applyNumberFormat="1" applyFont="1" applyFill="1" applyBorder="1" applyAlignment="1">
      <alignment horizontal="center"/>
    </xf>
    <xf numFmtId="49" fontId="3" fillId="4" borderId="40" xfId="0" applyNumberFormat="1" applyFont="1" applyFill="1" applyBorder="1" applyAlignment="1">
      <alignment horizontal="center"/>
    </xf>
    <xf numFmtId="1" fontId="3" fillId="4" borderId="41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1" fontId="3" fillId="3" borderId="42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2" fillId="3" borderId="0" xfId="0" applyNumberFormat="1" applyFont="1" applyFill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/>
    </xf>
    <xf numFmtId="1" fontId="17" fillId="3" borderId="2" xfId="0" applyNumberFormat="1" applyFont="1" applyFill="1" applyBorder="1" applyAlignment="1">
      <alignment horizontal="left" vertical="center"/>
    </xf>
    <xf numFmtId="14" fontId="2" fillId="3" borderId="2" xfId="0" applyNumberFormat="1" applyFont="1" applyFill="1" applyBorder="1" applyAlignment="1">
      <alignment horizontal="left" vertical="center"/>
    </xf>
    <xf numFmtId="1" fontId="2" fillId="3" borderId="3" xfId="0" applyNumberFormat="1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17" fontId="26" fillId="3" borderId="5" xfId="0" applyNumberFormat="1" applyFont="1" applyFill="1" applyBorder="1" applyAlignment="1">
      <alignment vertical="center" wrapText="1"/>
    </xf>
    <xf numFmtId="14" fontId="2" fillId="3" borderId="5" xfId="0" applyNumberFormat="1" applyFont="1" applyFill="1" applyBorder="1" applyAlignment="1">
      <alignment horizontal="left" vertical="center"/>
    </xf>
    <xf numFmtId="1" fontId="17" fillId="3" borderId="5" xfId="0" applyNumberFormat="1" applyFont="1" applyFill="1" applyBorder="1" applyAlignment="1">
      <alignment horizontal="left" vertical="center"/>
    </xf>
    <xf numFmtId="0" fontId="4" fillId="8" borderId="7" xfId="0" applyFont="1" applyFill="1" applyBorder="1" applyAlignment="1">
      <alignment horizontal="center" vertical="center" wrapText="1"/>
    </xf>
    <xf numFmtId="1" fontId="9" fillId="3" borderId="7" xfId="0" applyNumberFormat="1" applyFont="1" applyFill="1" applyBorder="1" applyAlignment="1">
      <alignment horizontal="center" vertical="center" wrapText="1"/>
    </xf>
    <xf numFmtId="165" fontId="18" fillId="3" borderId="24" xfId="0" applyNumberFormat="1" applyFont="1" applyFill="1" applyBorder="1" applyAlignment="1">
      <alignment horizontal="center"/>
    </xf>
    <xf numFmtId="165" fontId="22" fillId="3" borderId="25" xfId="0" applyNumberFormat="1" applyFont="1" applyFill="1" applyBorder="1" applyAlignment="1">
      <alignment horizontal="center"/>
    </xf>
    <xf numFmtId="1" fontId="22" fillId="3" borderId="26" xfId="0" applyNumberFormat="1" applyFont="1" applyFill="1" applyBorder="1" applyAlignment="1"/>
    <xf numFmtId="164" fontId="18" fillId="3" borderId="27" xfId="0" applyNumberFormat="1" applyFont="1" applyFill="1" applyBorder="1" applyAlignment="1"/>
    <xf numFmtId="0" fontId="24" fillId="3" borderId="13" xfId="0" applyFont="1" applyFill="1" applyBorder="1">
      <alignment vertical="top" wrapText="1"/>
    </xf>
    <xf numFmtId="0" fontId="3" fillId="3" borderId="11" xfId="0" applyFont="1" applyFill="1" applyBorder="1" applyAlignment="1">
      <alignment horizontal="center" vertical="center" wrapText="1"/>
    </xf>
    <xf numFmtId="14" fontId="3" fillId="3" borderId="11" xfId="0" applyNumberFormat="1" applyFont="1" applyFill="1" applyBorder="1" applyAlignment="1"/>
    <xf numFmtId="0" fontId="3" fillId="3" borderId="6" xfId="0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/>
    <xf numFmtId="14" fontId="3" fillId="3" borderId="6" xfId="0" applyNumberFormat="1" applyFont="1" applyFill="1" applyBorder="1" applyAlignment="1"/>
    <xf numFmtId="165" fontId="3" fillId="3" borderId="6" xfId="0" applyNumberFormat="1" applyFont="1" applyFill="1" applyBorder="1" applyAlignment="1">
      <alignment horizontal="center"/>
    </xf>
    <xf numFmtId="1" fontId="1" fillId="3" borderId="0" xfId="0" applyNumberFormat="1" applyFont="1" applyFill="1">
      <alignment vertical="top" wrapText="1"/>
    </xf>
    <xf numFmtId="14" fontId="1" fillId="3" borderId="0" xfId="0" applyNumberFormat="1" applyFont="1" applyFill="1">
      <alignment vertical="top" wrapText="1"/>
    </xf>
    <xf numFmtId="1" fontId="4" fillId="6" borderId="7" xfId="0" applyNumberFormat="1" applyFont="1" applyFill="1" applyBorder="1" applyAlignment="1">
      <alignment horizontal="center" vertical="center" wrapText="1"/>
    </xf>
    <xf numFmtId="14" fontId="4" fillId="6" borderId="7" xfId="0" applyNumberFormat="1" applyFont="1" applyFill="1" applyBorder="1" applyAlignment="1">
      <alignment horizontal="center" vertical="center" wrapText="1"/>
    </xf>
    <xf numFmtId="0" fontId="29" fillId="7" borderId="13" xfId="0" applyFont="1" applyFill="1" applyBorder="1">
      <alignment vertical="top" wrapText="1"/>
    </xf>
    <xf numFmtId="1" fontId="3" fillId="4" borderId="14" xfId="0" applyNumberFormat="1" applyFont="1" applyFill="1" applyBorder="1" applyAlignment="1">
      <alignment horizontal="center"/>
    </xf>
    <xf numFmtId="1" fontId="3" fillId="4" borderId="37" xfId="0" applyNumberFormat="1" applyFont="1" applyFill="1" applyBorder="1" applyAlignment="1">
      <alignment horizontal="center"/>
    </xf>
    <xf numFmtId="0" fontId="30" fillId="3" borderId="9" xfId="0" applyFont="1" applyFill="1" applyBorder="1" applyAlignment="1">
      <alignment horizontal="center" vertical="top" wrapText="1"/>
    </xf>
    <xf numFmtId="0" fontId="30" fillId="3" borderId="10" xfId="0" applyFont="1" applyFill="1" applyBorder="1" applyAlignment="1">
      <alignment horizontal="center" vertical="top" wrapText="1"/>
    </xf>
    <xf numFmtId="0" fontId="30" fillId="3" borderId="7" xfId="0" applyFont="1" applyFill="1" applyBorder="1" applyAlignment="1">
      <alignment horizontal="center" vertical="top" wrapText="1"/>
    </xf>
    <xf numFmtId="0" fontId="0" fillId="3" borderId="13" xfId="0" applyFill="1" applyBorder="1">
      <alignment vertical="top" wrapText="1"/>
    </xf>
    <xf numFmtId="49" fontId="3" fillId="3" borderId="7" xfId="0" applyNumberFormat="1" applyFont="1" applyFill="1" applyBorder="1" applyAlignment="1">
      <alignment horizontal="center"/>
    </xf>
    <xf numFmtId="0" fontId="31" fillId="3" borderId="9" xfId="0" applyFont="1" applyFill="1" applyBorder="1" applyAlignment="1">
      <alignment horizontal="center" vertical="top" wrapText="1"/>
    </xf>
    <xf numFmtId="0" fontId="31" fillId="3" borderId="10" xfId="0" applyFont="1" applyFill="1" applyBorder="1" applyAlignment="1">
      <alignment horizontal="center" vertical="top" wrapText="1"/>
    </xf>
    <xf numFmtId="0" fontId="31" fillId="3" borderId="7" xfId="0" applyFont="1" applyFill="1" applyBorder="1" applyAlignment="1">
      <alignment horizontal="center" vertical="top" wrapText="1"/>
    </xf>
    <xf numFmtId="17" fontId="18" fillId="4" borderId="10" xfId="0" applyNumberFormat="1" applyFont="1" applyFill="1" applyBorder="1" applyAlignment="1">
      <alignment horizontal="center"/>
    </xf>
    <xf numFmtId="1" fontId="18" fillId="4" borderId="14" xfId="0" applyNumberFormat="1" applyFont="1" applyFill="1" applyBorder="1" applyAlignment="1">
      <alignment horizontal="center"/>
    </xf>
    <xf numFmtId="1" fontId="18" fillId="4" borderId="13" xfId="0" applyNumberFormat="1" applyFont="1" applyFill="1" applyBorder="1" applyAlignment="1">
      <alignment horizontal="center"/>
    </xf>
    <xf numFmtId="1" fontId="18" fillId="4" borderId="13" xfId="0" applyNumberFormat="1" applyFont="1" applyFill="1" applyBorder="1" applyAlignment="1"/>
    <xf numFmtId="1" fontId="3" fillId="3" borderId="13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0" fontId="27" fillId="4" borderId="10" xfId="0" applyFont="1" applyFill="1" applyBorder="1" applyAlignment="1">
      <alignment horizontal="center"/>
    </xf>
    <xf numFmtId="166" fontId="18" fillId="5" borderId="15" xfId="0" applyNumberFormat="1" applyFont="1" applyFill="1" applyBorder="1" applyAlignment="1">
      <alignment horizontal="center" vertical="top" wrapText="1"/>
    </xf>
    <xf numFmtId="164" fontId="18" fillId="5" borderId="10" xfId="0" applyNumberFormat="1" applyFont="1" applyFill="1" applyBorder="1" applyAlignment="1">
      <alignment horizontal="center" vertical="center" wrapText="1"/>
    </xf>
    <xf numFmtId="166" fontId="18" fillId="5" borderId="10" xfId="0" applyNumberFormat="1" applyFont="1" applyFill="1" applyBorder="1" applyAlignment="1">
      <alignment horizontal="center" vertical="top" wrapText="1"/>
    </xf>
    <xf numFmtId="164" fontId="27" fillId="4" borderId="9" xfId="0" applyNumberFormat="1" applyFont="1" applyFill="1" applyBorder="1" applyAlignment="1">
      <alignment horizontal="center" vertical="center" wrapText="1"/>
    </xf>
    <xf numFmtId="166" fontId="33" fillId="4" borderId="10" xfId="0" applyNumberFormat="1" applyFont="1" applyFill="1" applyBorder="1" applyAlignment="1">
      <alignment horizontal="center" vertical="top" wrapText="1"/>
    </xf>
    <xf numFmtId="1" fontId="34" fillId="3" borderId="2" xfId="0" applyNumberFormat="1" applyFont="1" applyFill="1" applyBorder="1" applyAlignment="1">
      <alignment horizontal="left" vertical="center"/>
    </xf>
    <xf numFmtId="1" fontId="34" fillId="3" borderId="5" xfId="0" applyNumberFormat="1" applyFont="1" applyFill="1" applyBorder="1" applyAlignment="1">
      <alignment horizontal="left" vertical="center"/>
    </xf>
    <xf numFmtId="164" fontId="36" fillId="3" borderId="10" xfId="0" applyNumberFormat="1" applyFont="1" applyFill="1" applyBorder="1" applyAlignment="1">
      <alignment horizontal="center" vertical="top" wrapText="1"/>
    </xf>
    <xf numFmtId="164" fontId="36" fillId="3" borderId="7" xfId="0" applyNumberFormat="1" applyFont="1" applyFill="1" applyBorder="1" applyAlignment="1">
      <alignment horizontal="center" vertical="top" wrapText="1"/>
    </xf>
    <xf numFmtId="164" fontId="35" fillId="3" borderId="10" xfId="0" applyNumberFormat="1" applyFont="1" applyFill="1" applyBorder="1" applyAlignment="1">
      <alignment horizontal="center" vertical="top" wrapText="1"/>
    </xf>
    <xf numFmtId="164" fontId="36" fillId="3" borderId="11" xfId="0" applyNumberFormat="1" applyFont="1" applyFill="1" applyBorder="1" applyAlignment="1"/>
    <xf numFmtId="164" fontId="36" fillId="3" borderId="6" xfId="0" applyNumberFormat="1" applyFont="1" applyFill="1" applyBorder="1" applyAlignment="1"/>
    <xf numFmtId="0" fontId="37" fillId="3" borderId="0" xfId="0" applyFont="1" applyFill="1">
      <alignment vertical="top" wrapText="1"/>
    </xf>
    <xf numFmtId="164" fontId="27" fillId="4" borderId="10" xfId="0" applyNumberFormat="1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/>
    </xf>
    <xf numFmtId="164" fontId="3" fillId="4" borderId="15" xfId="0" applyNumberFormat="1" applyFont="1" applyFill="1" applyBorder="1" applyAlignment="1">
      <alignment horizontal="center"/>
    </xf>
    <xf numFmtId="49" fontId="28" fillId="7" borderId="28" xfId="0" applyNumberFormat="1" applyFont="1" applyFill="1" applyBorder="1" applyAlignment="1">
      <alignment horizontal="center"/>
    </xf>
    <xf numFmtId="49" fontId="28" fillId="7" borderId="29" xfId="0" applyNumberFormat="1" applyFont="1" applyFill="1" applyBorder="1" applyAlignment="1">
      <alignment horizontal="center"/>
    </xf>
    <xf numFmtId="1" fontId="28" fillId="7" borderId="29" xfId="0" applyNumberFormat="1" applyFont="1" applyFill="1" applyBorder="1" applyAlignment="1">
      <alignment horizontal="center"/>
    </xf>
    <xf numFmtId="14" fontId="28" fillId="7" borderId="29" xfId="0" applyNumberFormat="1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 vertical="top" wrapText="1"/>
    </xf>
    <xf numFmtId="164" fontId="18" fillId="4" borderId="16" xfId="0" applyNumberFormat="1" applyFont="1" applyFill="1" applyBorder="1" applyAlignment="1">
      <alignment horizontal="center" vertical="top" wrapText="1"/>
    </xf>
    <xf numFmtId="164" fontId="18" fillId="4" borderId="9" xfId="0" applyNumberFormat="1" applyFont="1" applyFill="1" applyBorder="1" applyAlignment="1">
      <alignment horizontal="center" vertical="center" wrapText="1"/>
    </xf>
    <xf numFmtId="165" fontId="22" fillId="4" borderId="10" xfId="0" applyNumberFormat="1" applyFont="1" applyFill="1" applyBorder="1" applyAlignment="1">
      <alignment horizontal="center"/>
    </xf>
    <xf numFmtId="15" fontId="18" fillId="4" borderId="9" xfId="0" applyNumberFormat="1" applyFont="1" applyFill="1" applyBorder="1" applyAlignment="1">
      <alignment horizontal="center"/>
    </xf>
    <xf numFmtId="1" fontId="18" fillId="4" borderId="37" xfId="0" applyNumberFormat="1" applyFont="1" applyFill="1" applyBorder="1" applyAlignment="1">
      <alignment horizontal="center"/>
    </xf>
    <xf numFmtId="0" fontId="31" fillId="4" borderId="9" xfId="0" applyFont="1" applyFill="1" applyBorder="1" applyAlignment="1">
      <alignment horizontal="center" vertical="top" wrapText="1"/>
    </xf>
    <xf numFmtId="0" fontId="31" fillId="4" borderId="10" xfId="0" applyFont="1" applyFill="1" applyBorder="1" applyAlignment="1">
      <alignment horizontal="center" vertical="top" wrapText="1"/>
    </xf>
    <xf numFmtId="0" fontId="30" fillId="4" borderId="9" xfId="0" applyFont="1" applyFill="1" applyBorder="1" applyAlignment="1">
      <alignment horizontal="center" vertical="top" wrapText="1"/>
    </xf>
    <xf numFmtId="0" fontId="30" fillId="4" borderId="10" xfId="0" applyFont="1" applyFill="1" applyBorder="1" applyAlignment="1">
      <alignment horizontal="center" vertical="top" wrapText="1"/>
    </xf>
    <xf numFmtId="164" fontId="36" fillId="4" borderId="10" xfId="0" applyNumberFormat="1" applyFont="1" applyFill="1" applyBorder="1" applyAlignment="1">
      <alignment horizontal="center" vertical="top" wrapText="1"/>
    </xf>
    <xf numFmtId="1" fontId="38" fillId="3" borderId="5" xfId="0" applyNumberFormat="1" applyFont="1" applyFill="1" applyBorder="1" applyAlignment="1">
      <alignment horizontal="left" vertical="center"/>
    </xf>
    <xf numFmtId="0" fontId="39" fillId="7" borderId="21" xfId="0" applyFont="1" applyFill="1" applyBorder="1">
      <alignment vertical="top" wrapText="1"/>
    </xf>
    <xf numFmtId="0" fontId="40" fillId="4" borderId="13" xfId="0" applyFont="1" applyFill="1" applyBorder="1">
      <alignment vertical="top" wrapText="1"/>
    </xf>
    <xf numFmtId="14" fontId="42" fillId="3" borderId="2" xfId="0" applyNumberFormat="1" applyFont="1" applyFill="1" applyBorder="1" applyAlignment="1">
      <alignment horizontal="left" vertical="center"/>
    </xf>
    <xf numFmtId="14" fontId="42" fillId="3" borderId="5" xfId="0" applyNumberFormat="1" applyFont="1" applyFill="1" applyBorder="1" applyAlignment="1">
      <alignment horizontal="left" vertical="center"/>
    </xf>
    <xf numFmtId="14" fontId="9" fillId="6" borderId="7" xfId="0" applyNumberFormat="1" applyFont="1" applyFill="1" applyBorder="1" applyAlignment="1">
      <alignment horizontal="center" vertical="center" wrapText="1"/>
    </xf>
    <xf numFmtId="14" fontId="44" fillId="3" borderId="10" xfId="0" applyNumberFormat="1" applyFont="1" applyFill="1" applyBorder="1" applyAlignment="1">
      <alignment horizontal="center"/>
    </xf>
    <xf numFmtId="14" fontId="44" fillId="3" borderId="7" xfId="0" applyNumberFormat="1" applyFont="1" applyFill="1" applyBorder="1" applyAlignment="1">
      <alignment horizontal="center"/>
    </xf>
    <xf numFmtId="0" fontId="45" fillId="7" borderId="21" xfId="0" applyFont="1" applyFill="1" applyBorder="1">
      <alignment vertical="top" wrapText="1"/>
    </xf>
    <xf numFmtId="14" fontId="43" fillId="3" borderId="10" xfId="0" applyNumberFormat="1" applyFont="1" applyFill="1" applyBorder="1" applyAlignment="1">
      <alignment horizontal="center"/>
    </xf>
    <xf numFmtId="14" fontId="44" fillId="3" borderId="11" xfId="0" applyNumberFormat="1" applyFont="1" applyFill="1" applyBorder="1" applyAlignment="1"/>
    <xf numFmtId="14" fontId="44" fillId="3" borderId="6" xfId="0" applyNumberFormat="1" applyFont="1" applyFill="1" applyBorder="1" applyAlignment="1"/>
    <xf numFmtId="14" fontId="40" fillId="3" borderId="0" xfId="0" applyNumberFormat="1" applyFont="1" applyFill="1">
      <alignment vertical="top" wrapText="1"/>
    </xf>
    <xf numFmtId="0" fontId="18" fillId="4" borderId="14" xfId="0" applyFont="1" applyFill="1" applyBorder="1" applyAlignment="1">
      <alignment horizontal="center" vertical="top" wrapText="1"/>
    </xf>
    <xf numFmtId="164" fontId="18" fillId="4" borderId="13" xfId="0" applyNumberFormat="1" applyFont="1" applyFill="1" applyBorder="1" applyAlignment="1">
      <alignment horizontal="center" vertical="top" wrapText="1"/>
    </xf>
    <xf numFmtId="164" fontId="18" fillId="4" borderId="15" xfId="0" applyNumberFormat="1" applyFont="1" applyFill="1" applyBorder="1" applyAlignment="1">
      <alignment horizontal="center" vertical="top" wrapText="1"/>
    </xf>
    <xf numFmtId="164" fontId="18" fillId="4" borderId="14" xfId="0" applyNumberFormat="1" applyFont="1" applyFill="1" applyBorder="1" applyAlignment="1">
      <alignment horizontal="center" vertical="top" wrapText="1"/>
    </xf>
    <xf numFmtId="166" fontId="18" fillId="4" borderId="15" xfId="0" applyNumberFormat="1" applyFont="1" applyFill="1" applyBorder="1" applyAlignment="1">
      <alignment horizontal="center" vertical="top" wrapText="1"/>
    </xf>
    <xf numFmtId="15" fontId="18" fillId="4" borderId="10" xfId="0" applyNumberFormat="1" applyFont="1" applyFill="1" applyBorder="1" applyAlignment="1">
      <alignment horizontal="center"/>
    </xf>
    <xf numFmtId="164" fontId="27" fillId="4" borderId="7" xfId="0" applyNumberFormat="1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/>
    </xf>
    <xf numFmtId="16" fontId="18" fillId="4" borderId="10" xfId="0" applyNumberFormat="1" applyFont="1" applyFill="1" applyBorder="1" applyAlignment="1">
      <alignment horizontal="center"/>
    </xf>
    <xf numFmtId="1" fontId="17" fillId="5" borderId="5" xfId="0" applyNumberFormat="1" applyFont="1" applyFill="1" applyBorder="1" applyAlignment="1">
      <alignment horizontal="left" vertical="center"/>
    </xf>
    <xf numFmtId="1" fontId="3" fillId="5" borderId="3" xfId="0" applyNumberFormat="1" applyFont="1" applyFill="1" applyBorder="1" applyAlignment="1"/>
    <xf numFmtId="1" fontId="2" fillId="5" borderId="5" xfId="0" applyNumberFormat="1" applyFont="1" applyFill="1" applyBorder="1" applyAlignment="1">
      <alignment horizontal="left" vertical="center"/>
    </xf>
    <xf numFmtId="164" fontId="18" fillId="4" borderId="17" xfId="0" applyNumberFormat="1" applyFont="1" applyFill="1" applyBorder="1" applyAlignment="1">
      <alignment horizontal="center" vertical="top" wrapText="1"/>
    </xf>
    <xf numFmtId="17" fontId="18" fillId="4" borderId="9" xfId="0" applyNumberFormat="1" applyFont="1" applyFill="1" applyBorder="1" applyAlignment="1">
      <alignment horizontal="center"/>
    </xf>
    <xf numFmtId="164" fontId="36" fillId="4" borderId="9" xfId="0" applyNumberFormat="1" applyFont="1" applyFill="1" applyBorder="1" applyAlignment="1">
      <alignment horizontal="center" vertical="top" wrapText="1"/>
    </xf>
    <xf numFmtId="43" fontId="3" fillId="5" borderId="1" xfId="2" applyFont="1" applyFill="1" applyBorder="1"/>
    <xf numFmtId="1" fontId="3" fillId="4" borderId="36" xfId="0" applyNumberFormat="1" applyFont="1" applyFill="1" applyBorder="1" applyAlignment="1">
      <alignment horizontal="center"/>
    </xf>
    <xf numFmtId="0" fontId="45" fillId="7" borderId="13" xfId="0" applyFont="1" applyFill="1" applyBorder="1">
      <alignment vertical="top" wrapText="1"/>
    </xf>
    <xf numFmtId="0" fontId="5" fillId="5" borderId="8" xfId="0" applyFont="1" applyFill="1" applyBorder="1" applyAlignment="1">
      <alignment horizontal="center"/>
    </xf>
    <xf numFmtId="165" fontId="47" fillId="3" borderId="10" xfId="0" applyNumberFormat="1" applyFont="1" applyFill="1" applyBorder="1" applyAlignment="1">
      <alignment horizontal="center"/>
    </xf>
    <xf numFmtId="165" fontId="5" fillId="5" borderId="6" xfId="0" applyNumberFormat="1" applyFont="1" applyFill="1" applyBorder="1" applyAlignment="1"/>
    <xf numFmtId="165" fontId="47" fillId="5" borderId="8" xfId="0" applyNumberFormat="1" applyFont="1" applyFill="1" applyBorder="1" applyAlignment="1">
      <alignment horizontal="center"/>
    </xf>
    <xf numFmtId="0" fontId="50" fillId="5" borderId="8" xfId="0" applyFont="1" applyFill="1" applyBorder="1" applyAlignment="1">
      <alignment horizontal="center"/>
    </xf>
    <xf numFmtId="165" fontId="50" fillId="5" borderId="8" xfId="0" applyNumberFormat="1" applyFont="1" applyFill="1" applyBorder="1" applyAlignment="1">
      <alignment horizontal="center"/>
    </xf>
    <xf numFmtId="164" fontId="49" fillId="3" borderId="10" xfId="0" applyNumberFormat="1" applyFont="1" applyFill="1" applyBorder="1" applyAlignment="1">
      <alignment horizontal="center" vertical="top" wrapText="1"/>
    </xf>
    <xf numFmtId="0" fontId="5" fillId="3" borderId="0" xfId="0" applyFont="1" applyFill="1">
      <alignment vertical="top" wrapText="1"/>
    </xf>
    <xf numFmtId="0" fontId="22" fillId="3" borderId="13" xfId="0" applyFont="1" applyFill="1" applyBorder="1">
      <alignment vertical="top" wrapText="1"/>
    </xf>
    <xf numFmtId="0" fontId="22" fillId="3" borderId="0" xfId="0" applyFont="1" applyFill="1">
      <alignment vertical="top" wrapText="1"/>
    </xf>
    <xf numFmtId="0" fontId="51" fillId="7" borderId="21" xfId="0" applyFont="1" applyFill="1" applyBorder="1">
      <alignment vertical="top" wrapText="1"/>
    </xf>
    <xf numFmtId="0" fontId="51" fillId="9" borderId="21" xfId="0" applyFont="1" applyFill="1" applyBorder="1">
      <alignment vertical="top" wrapText="1"/>
    </xf>
    <xf numFmtId="0" fontId="5" fillId="4" borderId="13" xfId="0" applyFont="1" applyFill="1" applyBorder="1">
      <alignment vertical="top" wrapText="1"/>
    </xf>
    <xf numFmtId="1" fontId="5" fillId="3" borderId="0" xfId="0" applyNumberFormat="1" applyFont="1" applyFill="1">
      <alignment vertical="top" wrapText="1"/>
    </xf>
    <xf numFmtId="14" fontId="5" fillId="3" borderId="0" xfId="0" applyNumberFormat="1" applyFont="1" applyFill="1">
      <alignment vertical="top" wrapText="1"/>
    </xf>
    <xf numFmtId="1" fontId="52" fillId="3" borderId="2" xfId="0" applyNumberFormat="1" applyFont="1" applyFill="1" applyBorder="1" applyAlignment="1">
      <alignment horizontal="left" vertical="center"/>
    </xf>
    <xf numFmtId="1" fontId="53" fillId="3" borderId="2" xfId="0" applyNumberFormat="1" applyFont="1" applyFill="1" applyBorder="1" applyAlignment="1">
      <alignment horizontal="left" vertical="center"/>
    </xf>
    <xf numFmtId="14" fontId="52" fillId="3" borderId="2" xfId="0" applyNumberFormat="1" applyFont="1" applyFill="1" applyBorder="1" applyAlignment="1">
      <alignment horizontal="left" vertical="center"/>
    </xf>
    <xf numFmtId="1" fontId="52" fillId="3" borderId="3" xfId="0" applyNumberFormat="1" applyFont="1" applyFill="1" applyBorder="1" applyAlignment="1">
      <alignment horizontal="left" vertical="center"/>
    </xf>
    <xf numFmtId="1" fontId="52" fillId="3" borderId="5" xfId="0" applyNumberFormat="1" applyFont="1" applyFill="1" applyBorder="1" applyAlignment="1">
      <alignment horizontal="left" vertical="center"/>
    </xf>
    <xf numFmtId="17" fontId="53" fillId="3" borderId="5" xfId="0" applyNumberFormat="1" applyFont="1" applyFill="1" applyBorder="1" applyAlignment="1">
      <alignment vertical="center" wrapText="1"/>
    </xf>
    <xf numFmtId="14" fontId="52" fillId="3" borderId="5" xfId="0" applyNumberFormat="1" applyFont="1" applyFill="1" applyBorder="1" applyAlignment="1">
      <alignment horizontal="left" vertical="center"/>
    </xf>
    <xf numFmtId="1" fontId="53" fillId="3" borderId="5" xfId="0" applyNumberFormat="1" applyFont="1" applyFill="1" applyBorder="1" applyAlignment="1">
      <alignment horizontal="left" vertical="center"/>
    </xf>
    <xf numFmtId="1" fontId="5" fillId="3" borderId="3" xfId="0" applyNumberFormat="1" applyFont="1" applyFill="1" applyBorder="1" applyAlignment="1"/>
    <xf numFmtId="0" fontId="5" fillId="6" borderId="7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1" fontId="5" fillId="6" borderId="7" xfId="0" applyNumberFormat="1" applyFont="1" applyFill="1" applyBorder="1" applyAlignment="1">
      <alignment horizontal="center" vertical="center" wrapText="1"/>
    </xf>
    <xf numFmtId="14" fontId="5" fillId="6" borderId="7" xfId="0" applyNumberFormat="1" applyFont="1" applyFill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4" fillId="3" borderId="9" xfId="0" applyFont="1" applyFill="1" applyBorder="1" applyAlignment="1">
      <alignment horizontal="center" vertical="top" wrapText="1"/>
    </xf>
    <xf numFmtId="0" fontId="22" fillId="3" borderId="9" xfId="0" applyFont="1" applyFill="1" applyBorder="1" applyAlignment="1">
      <alignment horizontal="center" vertical="center" wrapText="1"/>
    </xf>
    <xf numFmtId="164" fontId="22" fillId="3" borderId="9" xfId="0" applyNumberFormat="1" applyFont="1" applyFill="1" applyBorder="1" applyAlignment="1">
      <alignment horizontal="center"/>
    </xf>
    <xf numFmtId="164" fontId="22" fillId="3" borderId="9" xfId="0" applyNumberFormat="1" applyFont="1" applyFill="1" applyBorder="1" applyAlignment="1">
      <alignment horizontal="center" vertical="top" wrapText="1"/>
    </xf>
    <xf numFmtId="164" fontId="47" fillId="3" borderId="9" xfId="0" applyNumberFormat="1" applyFont="1" applyFill="1" applyBorder="1" applyAlignment="1">
      <alignment horizontal="center" vertical="top" wrapText="1"/>
    </xf>
    <xf numFmtId="166" fontId="22" fillId="3" borderId="9" xfId="0" applyNumberFormat="1" applyFont="1" applyFill="1" applyBorder="1" applyAlignment="1">
      <alignment horizontal="center" vertical="top" wrapText="1"/>
    </xf>
    <xf numFmtId="164" fontId="5" fillId="3" borderId="10" xfId="0" applyNumberFormat="1" applyFont="1" applyFill="1" applyBorder="1" applyAlignment="1">
      <alignment horizontal="center" vertical="top" wrapText="1"/>
    </xf>
    <xf numFmtId="1" fontId="22" fillId="3" borderId="9" xfId="0" applyNumberFormat="1" applyFont="1" applyFill="1" applyBorder="1" applyAlignment="1">
      <alignment horizontal="center"/>
    </xf>
    <xf numFmtId="1" fontId="22" fillId="3" borderId="24" xfId="0" applyNumberFormat="1" applyFont="1" applyFill="1" applyBorder="1" applyAlignment="1">
      <alignment horizontal="center"/>
    </xf>
    <xf numFmtId="14" fontId="22" fillId="3" borderId="9" xfId="0" applyNumberFormat="1" applyFont="1" applyFill="1" applyBorder="1" applyAlignment="1">
      <alignment horizontal="center"/>
    </xf>
    <xf numFmtId="165" fontId="22" fillId="3" borderId="24" xfId="0" applyNumberFormat="1" applyFont="1" applyFill="1" applyBorder="1" applyAlignment="1">
      <alignment horizontal="center"/>
    </xf>
    <xf numFmtId="164" fontId="22" fillId="3" borderId="27" xfId="0" applyNumberFormat="1" applyFont="1" applyFill="1" applyBorder="1" applyAlignment="1"/>
    <xf numFmtId="0" fontId="54" fillId="3" borderId="10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center" wrapText="1"/>
    </xf>
    <xf numFmtId="164" fontId="5" fillId="3" borderId="18" xfId="0" applyNumberFormat="1" applyFont="1" applyFill="1" applyBorder="1" applyAlignment="1">
      <alignment horizontal="center"/>
    </xf>
    <xf numFmtId="164" fontId="5" fillId="3" borderId="10" xfId="0" applyNumberFormat="1" applyFont="1" applyFill="1" applyBorder="1" applyAlignment="1">
      <alignment horizontal="center"/>
    </xf>
    <xf numFmtId="164" fontId="47" fillId="3" borderId="10" xfId="0" applyNumberFormat="1" applyFont="1" applyFill="1" applyBorder="1" applyAlignment="1">
      <alignment horizontal="center" vertical="top" wrapText="1"/>
    </xf>
    <xf numFmtId="166" fontId="5" fillId="3" borderId="10" xfId="0" applyNumberFormat="1" applyFont="1" applyFill="1" applyBorder="1" applyAlignment="1">
      <alignment horizontal="center" vertical="top" wrapText="1"/>
    </xf>
    <xf numFmtId="1" fontId="5" fillId="3" borderId="10" xfId="0" applyNumberFormat="1" applyFont="1" applyFill="1" applyBorder="1" applyAlignment="1">
      <alignment horizontal="center"/>
    </xf>
    <xf numFmtId="1" fontId="5" fillId="3" borderId="9" xfId="0" applyNumberFormat="1" applyFont="1" applyFill="1" applyBorder="1" applyAlignment="1">
      <alignment horizontal="center"/>
    </xf>
    <xf numFmtId="14" fontId="5" fillId="3" borderId="10" xfId="0" applyNumberFormat="1" applyFont="1" applyFill="1" applyBorder="1" applyAlignment="1">
      <alignment horizontal="center"/>
    </xf>
    <xf numFmtId="44" fontId="5" fillId="3" borderId="9" xfId="1" applyFont="1" applyFill="1" applyBorder="1" applyAlignment="1">
      <alignment horizontal="center"/>
    </xf>
    <xf numFmtId="43" fontId="5" fillId="3" borderId="6" xfId="2" applyFont="1" applyFill="1" applyBorder="1"/>
    <xf numFmtId="0" fontId="5" fillId="3" borderId="14" xfId="0" applyFont="1" applyFill="1" applyBorder="1" applyAlignment="1">
      <alignment horizontal="center" vertical="center" wrapText="1"/>
    </xf>
    <xf numFmtId="164" fontId="5" fillId="3" borderId="13" xfId="0" applyNumberFormat="1" applyFont="1" applyFill="1" applyBorder="1" applyAlignment="1">
      <alignment horizontal="center"/>
    </xf>
    <xf numFmtId="164" fontId="5" fillId="3" borderId="15" xfId="0" applyNumberFormat="1" applyFont="1" applyFill="1" applyBorder="1" applyAlignment="1">
      <alignment horizontal="center"/>
    </xf>
    <xf numFmtId="0" fontId="54" fillId="3" borderId="7" xfId="0" applyFont="1" applyFill="1" applyBorder="1" applyAlignment="1">
      <alignment horizontal="center" vertical="top" wrapText="1"/>
    </xf>
    <xf numFmtId="164" fontId="5" fillId="3" borderId="19" xfId="0" applyNumberFormat="1" applyFont="1" applyFill="1" applyBorder="1" applyAlignment="1">
      <alignment horizontal="center"/>
    </xf>
    <xf numFmtId="164" fontId="5" fillId="3" borderId="7" xfId="0" applyNumberFormat="1" applyFont="1" applyFill="1" applyBorder="1" applyAlignment="1">
      <alignment horizontal="center"/>
    </xf>
    <xf numFmtId="164" fontId="5" fillId="3" borderId="7" xfId="0" applyNumberFormat="1" applyFont="1" applyFill="1" applyBorder="1" applyAlignment="1">
      <alignment horizontal="center" vertical="top" wrapText="1"/>
    </xf>
    <xf numFmtId="164" fontId="47" fillId="3" borderId="7" xfId="0" applyNumberFormat="1" applyFont="1" applyFill="1" applyBorder="1" applyAlignment="1">
      <alignment horizontal="center" vertical="top" wrapText="1"/>
    </xf>
    <xf numFmtId="166" fontId="5" fillId="3" borderId="7" xfId="0" applyNumberFormat="1" applyFont="1" applyFill="1" applyBorder="1" applyAlignment="1">
      <alignment horizontal="center" vertical="top" wrapText="1"/>
    </xf>
    <xf numFmtId="1" fontId="5" fillId="3" borderId="7" xfId="0" applyNumberFormat="1" applyFont="1" applyFill="1" applyBorder="1" applyAlignment="1">
      <alignment horizontal="center"/>
    </xf>
    <xf numFmtId="14" fontId="5" fillId="3" borderId="7" xfId="0" applyNumberFormat="1" applyFont="1" applyFill="1" applyBorder="1" applyAlignment="1">
      <alignment horizontal="center"/>
    </xf>
    <xf numFmtId="0" fontId="54" fillId="4" borderId="9" xfId="0" applyFont="1" applyFill="1" applyBorder="1" applyAlignment="1">
      <alignment horizontal="center" vertical="top" wrapText="1"/>
    </xf>
    <xf numFmtId="164" fontId="5" fillId="4" borderId="9" xfId="0" applyNumberFormat="1" applyFont="1" applyFill="1" applyBorder="1" applyAlignment="1">
      <alignment horizontal="center" vertical="top" wrapText="1"/>
    </xf>
    <xf numFmtId="166" fontId="5" fillId="4" borderId="9" xfId="0" applyNumberFormat="1" applyFont="1" applyFill="1" applyBorder="1" applyAlignment="1">
      <alignment horizontal="center" vertical="top" wrapText="1"/>
    </xf>
    <xf numFmtId="1" fontId="5" fillId="4" borderId="9" xfId="0" applyNumberFormat="1" applyFont="1" applyFill="1" applyBorder="1" applyAlignment="1">
      <alignment horizontal="center"/>
    </xf>
    <xf numFmtId="0" fontId="54" fillId="4" borderId="10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center" wrapText="1"/>
    </xf>
    <xf numFmtId="164" fontId="5" fillId="4" borderId="10" xfId="0" applyNumberFormat="1" applyFont="1" applyFill="1" applyBorder="1" applyAlignment="1">
      <alignment horizontal="center"/>
    </xf>
    <xf numFmtId="164" fontId="5" fillId="4" borderId="10" xfId="0" applyNumberFormat="1" applyFont="1" applyFill="1" applyBorder="1" applyAlignment="1">
      <alignment horizontal="center" vertical="top" wrapText="1"/>
    </xf>
    <xf numFmtId="166" fontId="5" fillId="4" borderId="7" xfId="0" applyNumberFormat="1" applyFont="1" applyFill="1" applyBorder="1" applyAlignment="1">
      <alignment horizontal="center" vertical="top" wrapText="1"/>
    </xf>
    <xf numFmtId="1" fontId="5" fillId="4" borderId="10" xfId="0" applyNumberFormat="1" applyFont="1" applyFill="1" applyBorder="1" applyAlignment="1">
      <alignment horizontal="center"/>
    </xf>
    <xf numFmtId="14" fontId="5" fillId="4" borderId="10" xfId="0" applyNumberFormat="1" applyFont="1" applyFill="1" applyBorder="1" applyAlignment="1">
      <alignment horizontal="center"/>
    </xf>
    <xf numFmtId="166" fontId="5" fillId="3" borderId="9" xfId="0" applyNumberFormat="1" applyFont="1" applyFill="1" applyBorder="1" applyAlignment="1">
      <alignment horizontal="center" vertical="top" wrapText="1"/>
    </xf>
    <xf numFmtId="0" fontId="22" fillId="3" borderId="7" xfId="0" applyFont="1" applyFill="1" applyBorder="1" applyAlignment="1">
      <alignment horizontal="center" vertical="center" wrapText="1"/>
    </xf>
    <xf numFmtId="164" fontId="22" fillId="3" borderId="7" xfId="0" applyNumberFormat="1" applyFont="1" applyFill="1" applyBorder="1" applyAlignment="1">
      <alignment horizontal="center"/>
    </xf>
    <xf numFmtId="164" fontId="22" fillId="3" borderId="7" xfId="0" applyNumberFormat="1" applyFont="1" applyFill="1" applyBorder="1" applyAlignment="1">
      <alignment horizontal="center" vertical="top" wrapText="1"/>
    </xf>
    <xf numFmtId="1" fontId="22" fillId="3" borderId="7" xfId="0" applyNumberFormat="1" applyFont="1" applyFill="1" applyBorder="1" applyAlignment="1">
      <alignment horizontal="center"/>
    </xf>
    <xf numFmtId="49" fontId="51" fillId="9" borderId="28" xfId="0" applyNumberFormat="1" applyFont="1" applyFill="1" applyBorder="1" applyAlignment="1">
      <alignment horizontal="center"/>
    </xf>
    <xf numFmtId="49" fontId="51" fillId="9" borderId="29" xfId="0" applyNumberFormat="1" applyFont="1" applyFill="1" applyBorder="1" applyAlignment="1">
      <alignment horizontal="center"/>
    </xf>
    <xf numFmtId="1" fontId="51" fillId="9" borderId="29" xfId="0" applyNumberFormat="1" applyFont="1" applyFill="1" applyBorder="1" applyAlignment="1">
      <alignment horizontal="center"/>
    </xf>
    <xf numFmtId="14" fontId="51" fillId="9" borderId="29" xfId="0" applyNumberFormat="1" applyFont="1" applyFill="1" applyBorder="1" applyAlignment="1">
      <alignment horizontal="center"/>
    </xf>
    <xf numFmtId="49" fontId="51" fillId="9" borderId="30" xfId="0" applyNumberFormat="1" applyFont="1" applyFill="1" applyBorder="1" applyAlignment="1">
      <alignment horizontal="center"/>
    </xf>
    <xf numFmtId="49" fontId="51" fillId="9" borderId="31" xfId="0" applyNumberFormat="1" applyFont="1" applyFill="1" applyBorder="1" applyAlignment="1">
      <alignment horizontal="center"/>
    </xf>
    <xf numFmtId="1" fontId="51" fillId="9" borderId="32" xfId="0" applyNumberFormat="1" applyFont="1" applyFill="1" applyBorder="1" applyAlignment="1">
      <alignment horizontal="center"/>
    </xf>
    <xf numFmtId="14" fontId="51" fillId="9" borderId="32" xfId="0" applyNumberFormat="1" applyFont="1" applyFill="1" applyBorder="1" applyAlignment="1">
      <alignment horizontal="center"/>
    </xf>
    <xf numFmtId="49" fontId="51" fillId="9" borderId="32" xfId="0" applyNumberFormat="1" applyFont="1" applyFill="1" applyBorder="1" applyAlignment="1">
      <alignment horizontal="center"/>
    </xf>
    <xf numFmtId="49" fontId="5" fillId="4" borderId="10" xfId="0" applyNumberFormat="1" applyFont="1" applyFill="1" applyBorder="1" applyAlignment="1">
      <alignment horizontal="center"/>
    </xf>
    <xf numFmtId="49" fontId="5" fillId="3" borderId="10" xfId="0" applyNumberFormat="1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164" fontId="5" fillId="3" borderId="9" xfId="0" applyNumberFormat="1" applyFont="1" applyFill="1" applyBorder="1" applyAlignment="1">
      <alignment horizontal="center"/>
    </xf>
    <xf numFmtId="164" fontId="5" fillId="3" borderId="9" xfId="0" applyNumberFormat="1" applyFont="1" applyFill="1" applyBorder="1" applyAlignment="1">
      <alignment horizontal="center" vertical="top" wrapText="1"/>
    </xf>
    <xf numFmtId="166" fontId="5" fillId="3" borderId="9" xfId="0" applyNumberFormat="1" applyFont="1" applyFill="1" applyBorder="1" applyAlignment="1">
      <alignment horizontal="center"/>
    </xf>
    <xf numFmtId="14" fontId="5" fillId="3" borderId="9" xfId="0" applyNumberFormat="1" applyFont="1" applyFill="1" applyBorder="1" applyAlignment="1">
      <alignment horizontal="center"/>
    </xf>
    <xf numFmtId="1" fontId="22" fillId="3" borderId="10" xfId="0" applyNumberFormat="1" applyFont="1" applyFill="1" applyBorder="1" applyAlignment="1">
      <alignment horizontal="center"/>
    </xf>
    <xf numFmtId="1" fontId="5" fillId="3" borderId="8" xfId="0" applyNumberFormat="1" applyFont="1" applyFill="1" applyBorder="1" applyAlignment="1"/>
    <xf numFmtId="1" fontId="5" fillId="3" borderId="11" xfId="0" applyNumberFormat="1" applyFont="1" applyFill="1" applyBorder="1" applyAlignment="1"/>
    <xf numFmtId="0" fontId="5" fillId="3" borderId="11" xfId="0" applyFont="1" applyFill="1" applyBorder="1" applyAlignment="1">
      <alignment horizontal="center" vertical="center" wrapText="1"/>
    </xf>
    <xf numFmtId="164" fontId="5" fillId="3" borderId="11" xfId="0" applyNumberFormat="1" applyFont="1" applyFill="1" applyBorder="1" applyAlignment="1"/>
    <xf numFmtId="165" fontId="5" fillId="3" borderId="11" xfId="0" applyNumberFormat="1" applyFont="1" applyFill="1" applyBorder="1" applyAlignment="1"/>
    <xf numFmtId="14" fontId="5" fillId="3" borderId="11" xfId="0" applyNumberFormat="1" applyFont="1" applyFill="1" applyBorder="1" applyAlignment="1"/>
    <xf numFmtId="0" fontId="5" fillId="3" borderId="6" xfId="0" applyFont="1" applyFill="1" applyBorder="1" applyAlignment="1">
      <alignment horizontal="center" vertical="center" wrapText="1"/>
    </xf>
    <xf numFmtId="14" fontId="5" fillId="3" borderId="6" xfId="0" applyNumberFormat="1" applyFont="1" applyFill="1" applyBorder="1" applyAlignment="1"/>
    <xf numFmtId="165" fontId="5" fillId="3" borderId="6" xfId="0" applyNumberFormat="1" applyFont="1" applyFill="1" applyBorder="1" applyAlignment="1">
      <alignment horizontal="center"/>
    </xf>
    <xf numFmtId="165" fontId="5" fillId="10" borderId="10" xfId="0" applyNumberFormat="1" applyFont="1" applyFill="1" applyBorder="1" applyAlignment="1">
      <alignment horizontal="center"/>
    </xf>
    <xf numFmtId="0" fontId="55" fillId="3" borderId="9" xfId="0" applyFont="1" applyFill="1" applyBorder="1" applyAlignment="1">
      <alignment horizontal="center" vertical="top" wrapText="1"/>
    </xf>
    <xf numFmtId="1" fontId="55" fillId="3" borderId="11" xfId="0" applyNumberFormat="1" applyFont="1" applyFill="1" applyBorder="1" applyAlignment="1"/>
    <xf numFmtId="1" fontId="55" fillId="3" borderId="6" xfId="0" applyNumberFormat="1" applyFont="1" applyFill="1" applyBorder="1" applyAlignment="1"/>
    <xf numFmtId="0" fontId="55" fillId="3" borderId="0" xfId="0" applyFont="1" applyFill="1">
      <alignment vertical="top" wrapText="1"/>
    </xf>
    <xf numFmtId="164" fontId="35" fillId="4" borderId="9" xfId="0" applyNumberFormat="1" applyFont="1" applyFill="1" applyBorder="1" applyAlignment="1">
      <alignment horizontal="center" vertical="top" wrapText="1"/>
    </xf>
    <xf numFmtId="0" fontId="55" fillId="3" borderId="10" xfId="0" applyFont="1" applyFill="1" applyBorder="1" applyAlignment="1">
      <alignment horizontal="center" vertical="top" wrapText="1"/>
    </xf>
    <xf numFmtId="0" fontId="55" fillId="3" borderId="7" xfId="0" applyFont="1" applyFill="1" applyBorder="1" applyAlignment="1">
      <alignment horizontal="center" vertical="top" wrapText="1"/>
    </xf>
    <xf numFmtId="0" fontId="55" fillId="10" borderId="9" xfId="0" applyFont="1" applyFill="1" applyBorder="1" applyAlignment="1">
      <alignment horizontal="center" vertical="top" wrapText="1"/>
    </xf>
    <xf numFmtId="0" fontId="51" fillId="9" borderId="13" xfId="0" applyFont="1" applyFill="1" applyBorder="1">
      <alignment vertical="top" wrapText="1"/>
    </xf>
    <xf numFmtId="0" fontId="55" fillId="4" borderId="9" xfId="0" applyFont="1" applyFill="1" applyBorder="1" applyAlignment="1">
      <alignment horizontal="center" vertical="top" wrapText="1"/>
    </xf>
    <xf numFmtId="0" fontId="55" fillId="4" borderId="10" xfId="0" applyFont="1" applyFill="1" applyBorder="1" applyAlignment="1">
      <alignment horizontal="center" vertical="top" wrapText="1"/>
    </xf>
    <xf numFmtId="0" fontId="22" fillId="10" borderId="7" xfId="0" applyFont="1" applyFill="1" applyBorder="1" applyAlignment="1">
      <alignment horizontal="center" vertical="center" wrapText="1"/>
    </xf>
    <xf numFmtId="164" fontId="22" fillId="10" borderId="7" xfId="0" applyNumberFormat="1" applyFont="1" applyFill="1" applyBorder="1" applyAlignment="1">
      <alignment horizontal="center"/>
    </xf>
    <xf numFmtId="164" fontId="22" fillId="10" borderId="7" xfId="0" applyNumberFormat="1" applyFont="1" applyFill="1" applyBorder="1" applyAlignment="1">
      <alignment horizontal="center" vertical="top" wrapText="1"/>
    </xf>
    <xf numFmtId="166" fontId="5" fillId="10" borderId="7" xfId="0" applyNumberFormat="1" applyFont="1" applyFill="1" applyBorder="1" applyAlignment="1">
      <alignment horizontal="center" vertical="top" wrapText="1"/>
    </xf>
    <xf numFmtId="1" fontId="22" fillId="10" borderId="7" xfId="0" applyNumberFormat="1" applyFont="1" applyFill="1" applyBorder="1" applyAlignment="1">
      <alignment horizontal="center"/>
    </xf>
    <xf numFmtId="49" fontId="51" fillId="11" borderId="28" xfId="0" applyNumberFormat="1" applyFont="1" applyFill="1" applyBorder="1" applyAlignment="1">
      <alignment horizontal="center"/>
    </xf>
    <xf numFmtId="0" fontId="5" fillId="3" borderId="13" xfId="0" applyFont="1" applyFill="1" applyBorder="1">
      <alignment vertical="top" wrapText="1"/>
    </xf>
    <xf numFmtId="49" fontId="5" fillId="3" borderId="7" xfId="0" applyNumberFormat="1" applyFont="1" applyFill="1" applyBorder="1" applyAlignment="1">
      <alignment horizontal="center"/>
    </xf>
    <xf numFmtId="166" fontId="5" fillId="3" borderId="10" xfId="0" applyNumberFormat="1" applyFont="1" applyFill="1" applyBorder="1" applyAlignment="1">
      <alignment horizontal="center"/>
    </xf>
    <xf numFmtId="166" fontId="22" fillId="3" borderId="10" xfId="0" applyNumberFormat="1" applyFont="1" applyFill="1" applyBorder="1" applyAlignment="1">
      <alignment horizontal="center"/>
    </xf>
    <xf numFmtId="1" fontId="56" fillId="3" borderId="2" xfId="0" applyNumberFormat="1" applyFont="1" applyFill="1" applyBorder="1" applyAlignment="1">
      <alignment horizontal="left" vertical="center"/>
    </xf>
    <xf numFmtId="49" fontId="51" fillId="11" borderId="29" xfId="0" applyNumberFormat="1" applyFont="1" applyFill="1" applyBorder="1" applyAlignment="1">
      <alignment horizontal="center"/>
    </xf>
    <xf numFmtId="1" fontId="51" fillId="7" borderId="29" xfId="0" applyNumberFormat="1" applyFont="1" applyFill="1" applyBorder="1" applyAlignment="1">
      <alignment horizontal="center"/>
    </xf>
    <xf numFmtId="14" fontId="51" fillId="7" borderId="29" xfId="0" applyNumberFormat="1" applyFont="1" applyFill="1" applyBorder="1" applyAlignment="1">
      <alignment horizontal="center"/>
    </xf>
    <xf numFmtId="49" fontId="51" fillId="7" borderId="29" xfId="0" applyNumberFormat="1" applyFont="1" applyFill="1" applyBorder="1" applyAlignment="1">
      <alignment horizontal="center"/>
    </xf>
    <xf numFmtId="14" fontId="22" fillId="3" borderId="10" xfId="0" applyNumberFormat="1" applyFont="1" applyFill="1" applyBorder="1" applyAlignment="1">
      <alignment horizontal="center"/>
    </xf>
    <xf numFmtId="1" fontId="52" fillId="3" borderId="10" xfId="0" applyNumberFormat="1" applyFont="1" applyFill="1" applyBorder="1" applyAlignment="1">
      <alignment horizontal="center"/>
    </xf>
    <xf numFmtId="0" fontId="22" fillId="6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7" fillId="3" borderId="9" xfId="0" applyFont="1" applyFill="1" applyBorder="1" applyAlignment="1">
      <alignment horizontal="center" vertical="top" wrapText="1"/>
    </xf>
    <xf numFmtId="0" fontId="5" fillId="0" borderId="0" xfId="0" applyFont="1">
      <alignment vertical="top" wrapText="1"/>
    </xf>
    <xf numFmtId="167" fontId="5" fillId="0" borderId="44" xfId="0" applyNumberFormat="1" applyFont="1" applyBorder="1" applyAlignment="1"/>
    <xf numFmtId="165" fontId="22" fillId="5" borderId="25" xfId="0" applyNumberFormat="1" applyFont="1" applyFill="1" applyBorder="1" applyAlignment="1">
      <alignment horizontal="center"/>
    </xf>
    <xf numFmtId="1" fontId="22" fillId="5" borderId="26" xfId="0" applyNumberFormat="1" applyFont="1" applyFill="1" applyBorder="1" applyAlignment="1"/>
    <xf numFmtId="167" fontId="5" fillId="0" borderId="45" xfId="0" applyNumberFormat="1" applyFont="1" applyBorder="1" applyAlignment="1"/>
    <xf numFmtId="0" fontId="5" fillId="5" borderId="6" xfId="0" applyFont="1" applyFill="1" applyBorder="1" applyAlignment="1"/>
    <xf numFmtId="167" fontId="5" fillId="0" borderId="21" xfId="0" applyNumberFormat="1" applyFont="1" applyBorder="1" applyAlignment="1"/>
    <xf numFmtId="0" fontId="54" fillId="3" borderId="46" xfId="0" applyFont="1" applyFill="1" applyBorder="1" applyAlignment="1">
      <alignment horizontal="center" vertical="top" wrapText="1"/>
    </xf>
    <xf numFmtId="0" fontId="5" fillId="0" borderId="47" xfId="0" applyFont="1" applyBorder="1" applyAlignment="1">
      <alignment horizontal="left" vertical="center"/>
    </xf>
    <xf numFmtId="167" fontId="5" fillId="0" borderId="20" xfId="0" applyNumberFormat="1" applyFont="1" applyBorder="1" applyAlignment="1"/>
    <xf numFmtId="164" fontId="5" fillId="3" borderId="46" xfId="0" applyNumberFormat="1" applyFont="1" applyFill="1" applyBorder="1" applyAlignment="1">
      <alignment horizontal="center" vertical="top" wrapText="1"/>
    </xf>
    <xf numFmtId="164" fontId="47" fillId="3" borderId="46" xfId="0" applyNumberFormat="1" applyFont="1" applyFill="1" applyBorder="1" applyAlignment="1">
      <alignment horizontal="center" vertical="top" wrapText="1"/>
    </xf>
    <xf numFmtId="1" fontId="5" fillId="3" borderId="46" xfId="0" applyNumberFormat="1" applyFont="1" applyFill="1" applyBorder="1" applyAlignment="1">
      <alignment horizontal="center"/>
    </xf>
    <xf numFmtId="14" fontId="5" fillId="3" borderId="46" xfId="0" applyNumberFormat="1" applyFont="1" applyFill="1" applyBorder="1" applyAlignment="1">
      <alignment horizontal="center"/>
    </xf>
    <xf numFmtId="14" fontId="5" fillId="3" borderId="0" xfId="0" applyNumberFormat="1" applyFont="1" applyFill="1" applyAlignment="1">
      <alignment horizontal="center"/>
    </xf>
    <xf numFmtId="0" fontId="5" fillId="0" borderId="48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7" fillId="4" borderId="9" xfId="0" applyFont="1" applyFill="1" applyBorder="1" applyAlignment="1">
      <alignment horizontal="center" vertical="top" wrapText="1"/>
    </xf>
    <xf numFmtId="0" fontId="5" fillId="4" borderId="48" xfId="0" applyFont="1" applyFill="1" applyBorder="1" applyAlignment="1">
      <alignment horizontal="left" vertical="center"/>
    </xf>
    <xf numFmtId="167" fontId="5" fillId="4" borderId="45" xfId="0" applyNumberFormat="1" applyFont="1" applyFill="1" applyBorder="1" applyAlignment="1"/>
    <xf numFmtId="164" fontId="47" fillId="4" borderId="10" xfId="0" applyNumberFormat="1" applyFont="1" applyFill="1" applyBorder="1" applyAlignment="1">
      <alignment horizontal="center" vertical="top" wrapText="1"/>
    </xf>
    <xf numFmtId="164" fontId="22" fillId="3" borderId="46" xfId="0" applyNumberFormat="1" applyFont="1" applyFill="1" applyBorder="1" applyAlignment="1">
      <alignment horizontal="center" vertical="top" wrapText="1"/>
    </xf>
    <xf numFmtId="1" fontId="51" fillId="9" borderId="50" xfId="0" applyNumberFormat="1" applyFont="1" applyFill="1" applyBorder="1" applyAlignment="1">
      <alignment horizontal="center"/>
    </xf>
    <xf numFmtId="14" fontId="51" fillId="9" borderId="50" xfId="0" applyNumberFormat="1" applyFont="1" applyFill="1" applyBorder="1" applyAlignment="1">
      <alignment horizontal="center"/>
    </xf>
    <xf numFmtId="49" fontId="51" fillId="9" borderId="50" xfId="0" applyNumberFormat="1" applyFont="1" applyFill="1" applyBorder="1" applyAlignment="1">
      <alignment horizontal="center"/>
    </xf>
    <xf numFmtId="1" fontId="22" fillId="3" borderId="46" xfId="0" applyNumberFormat="1" applyFont="1" applyFill="1" applyBorder="1" applyAlignment="1">
      <alignment horizontal="center"/>
    </xf>
    <xf numFmtId="164" fontId="22" fillId="4" borderId="7" xfId="0" applyNumberFormat="1" applyFont="1" applyFill="1" applyBorder="1" applyAlignment="1">
      <alignment horizontal="center" vertical="top" wrapText="1"/>
    </xf>
    <xf numFmtId="1" fontId="22" fillId="4" borderId="7" xfId="0" applyNumberFormat="1" applyFont="1" applyFill="1" applyBorder="1" applyAlignment="1">
      <alignment horizontal="center"/>
    </xf>
    <xf numFmtId="49" fontId="51" fillId="9" borderId="33" xfId="0" applyNumberFormat="1" applyFont="1" applyFill="1" applyBorder="1" applyAlignment="1">
      <alignment horizontal="center"/>
    </xf>
    <xf numFmtId="167" fontId="51" fillId="0" borderId="21" xfId="0" applyNumberFormat="1" applyFont="1" applyBorder="1" applyAlignment="1"/>
    <xf numFmtId="0" fontId="52" fillId="4" borderId="0" xfId="0" applyFont="1" applyFill="1">
      <alignment vertical="top" wrapText="1"/>
    </xf>
    <xf numFmtId="167" fontId="5" fillId="0" borderId="51" xfId="0" applyNumberFormat="1" applyFont="1" applyBorder="1" applyAlignment="1"/>
    <xf numFmtId="165" fontId="50" fillId="3" borderId="10" xfId="0" applyNumberFormat="1" applyFont="1" applyFill="1" applyBorder="1" applyAlignment="1">
      <alignment horizontal="center"/>
    </xf>
    <xf numFmtId="167" fontId="5" fillId="4" borderId="52" xfId="0" applyNumberFormat="1" applyFont="1" applyFill="1" applyBorder="1" applyAlignment="1"/>
    <xf numFmtId="165" fontId="50" fillId="4" borderId="10" xfId="0" applyNumberFormat="1" applyFont="1" applyFill="1" applyBorder="1" applyAlignment="1">
      <alignment horizontal="center"/>
    </xf>
    <xf numFmtId="0" fontId="5" fillId="0" borderId="53" xfId="0" applyFont="1" applyBorder="1" applyAlignment="1">
      <alignment horizontal="left" vertical="center"/>
    </xf>
    <xf numFmtId="167" fontId="5" fillId="0" borderId="54" xfId="0" applyNumberFormat="1" applyFont="1" applyBorder="1" applyAlignment="1"/>
    <xf numFmtId="167" fontId="5" fillId="0" borderId="55" xfId="0" applyNumberFormat="1" applyFont="1" applyBorder="1" applyAlignment="1"/>
    <xf numFmtId="164" fontId="22" fillId="3" borderId="11" xfId="0" applyNumberFormat="1" applyFont="1" applyFill="1" applyBorder="1" applyAlignment="1"/>
    <xf numFmtId="164" fontId="22" fillId="3" borderId="6" xfId="0" applyNumberFormat="1" applyFont="1" applyFill="1" applyBorder="1" applyAlignment="1"/>
    <xf numFmtId="1" fontId="48" fillId="3" borderId="2" xfId="0" applyNumberFormat="1" applyFont="1" applyFill="1" applyBorder="1" applyAlignment="1">
      <alignment horizontal="center" vertical="center" wrapText="1"/>
    </xf>
    <xf numFmtId="1" fontId="56" fillId="5" borderId="10" xfId="0" applyNumberFormat="1" applyFont="1" applyFill="1" applyBorder="1" applyAlignment="1">
      <alignment horizontal="center"/>
    </xf>
    <xf numFmtId="164" fontId="56" fillId="3" borderId="9" xfId="0" applyNumberFormat="1" applyFont="1" applyFill="1" applyBorder="1" applyAlignment="1">
      <alignment horizontal="center" vertical="top" wrapText="1"/>
    </xf>
    <xf numFmtId="17" fontId="18" fillId="4" borderId="7" xfId="0" applyNumberFormat="1" applyFont="1" applyFill="1" applyBorder="1" applyAlignment="1">
      <alignment horizontal="center"/>
    </xf>
    <xf numFmtId="1" fontId="18" fillId="4" borderId="36" xfId="0" applyNumberFormat="1" applyFont="1" applyFill="1" applyBorder="1" applyAlignment="1">
      <alignment horizontal="center"/>
    </xf>
    <xf numFmtId="1" fontId="59" fillId="3" borderId="2" xfId="0" applyNumberFormat="1" applyFont="1" applyFill="1" applyBorder="1" applyAlignment="1">
      <alignment horizontal="left" vertical="center"/>
    </xf>
    <xf numFmtId="1" fontId="60" fillId="3" borderId="2" xfId="0" applyNumberFormat="1" applyFont="1" applyFill="1" applyBorder="1" applyAlignment="1">
      <alignment horizontal="left" vertical="center"/>
    </xf>
    <xf numFmtId="1" fontId="61" fillId="3" borderId="2" xfId="0" applyNumberFormat="1" applyFont="1" applyFill="1" applyBorder="1" applyAlignment="1">
      <alignment horizontal="left" vertical="center"/>
    </xf>
    <xf numFmtId="0" fontId="5" fillId="3" borderId="48" xfId="0" applyFont="1" applyFill="1" applyBorder="1" applyAlignment="1">
      <alignment horizontal="left" vertical="center"/>
    </xf>
    <xf numFmtId="167" fontId="5" fillId="3" borderId="45" xfId="0" applyNumberFormat="1" applyFont="1" applyFill="1" applyBorder="1" applyAlignment="1"/>
    <xf numFmtId="167" fontId="5" fillId="3" borderId="52" xfId="0" applyNumberFormat="1" applyFont="1" applyFill="1" applyBorder="1" applyAlignment="1"/>
    <xf numFmtId="0" fontId="5" fillId="3" borderId="47" xfId="0" applyFont="1" applyFill="1" applyBorder="1" applyAlignment="1">
      <alignment horizontal="left" vertical="center"/>
    </xf>
    <xf numFmtId="167" fontId="51" fillId="3" borderId="20" xfId="0" applyNumberFormat="1" applyFont="1" applyFill="1" applyBorder="1" applyAlignment="1"/>
    <xf numFmtId="167" fontId="5" fillId="3" borderId="20" xfId="0" applyNumberFormat="1" applyFont="1" applyFill="1" applyBorder="1" applyAlignment="1"/>
    <xf numFmtId="49" fontId="5" fillId="3" borderId="46" xfId="0" applyNumberFormat="1" applyFont="1" applyFill="1" applyBorder="1" applyAlignment="1">
      <alignment horizontal="center"/>
    </xf>
    <xf numFmtId="0" fontId="5" fillId="3" borderId="49" xfId="0" applyFont="1" applyFill="1" applyBorder="1" applyAlignment="1">
      <alignment horizontal="left" vertical="center"/>
    </xf>
    <xf numFmtId="167" fontId="51" fillId="3" borderId="21" xfId="0" applyNumberFormat="1" applyFont="1" applyFill="1" applyBorder="1" applyAlignment="1"/>
    <xf numFmtId="167" fontId="5" fillId="3" borderId="21" xfId="0" applyNumberFormat="1" applyFont="1" applyFill="1" applyBorder="1" applyAlignment="1"/>
    <xf numFmtId="164" fontId="22" fillId="5" borderId="10" xfId="0" applyNumberFormat="1" applyFont="1" applyFill="1" applyBorder="1" applyAlignment="1">
      <alignment horizontal="center" vertical="top" wrapText="1"/>
    </xf>
    <xf numFmtId="164" fontId="22" fillId="5" borderId="7" xfId="0" applyNumberFormat="1" applyFont="1" applyFill="1" applyBorder="1" applyAlignment="1">
      <alignment horizontal="center" vertical="top" wrapText="1"/>
    </xf>
    <xf numFmtId="165" fontId="50" fillId="5" borderId="10" xfId="0" applyNumberFormat="1" applyFont="1" applyFill="1" applyBorder="1" applyAlignment="1">
      <alignment horizontal="center"/>
    </xf>
    <xf numFmtId="164" fontId="22" fillId="4" borderId="46" xfId="0" applyNumberFormat="1" applyFont="1" applyFill="1" applyBorder="1" applyAlignment="1">
      <alignment horizontal="center" vertical="top" wrapText="1"/>
    </xf>
    <xf numFmtId="164" fontId="47" fillId="4" borderId="46" xfId="0" applyNumberFormat="1" applyFont="1" applyFill="1" applyBorder="1" applyAlignment="1">
      <alignment horizontal="center" vertical="top" wrapText="1"/>
    </xf>
    <xf numFmtId="49" fontId="51" fillId="7" borderId="30" xfId="0" applyNumberFormat="1" applyFont="1" applyFill="1" applyBorder="1" applyAlignment="1">
      <alignment horizontal="center"/>
    </xf>
    <xf numFmtId="49" fontId="51" fillId="7" borderId="31" xfId="0" applyNumberFormat="1" applyFont="1" applyFill="1" applyBorder="1" applyAlignment="1">
      <alignment horizontal="center"/>
    </xf>
    <xf numFmtId="1" fontId="58" fillId="5" borderId="7" xfId="0" applyNumberFormat="1" applyFont="1" applyFill="1" applyBorder="1" applyAlignment="1">
      <alignment horizontal="center"/>
    </xf>
    <xf numFmtId="0" fontId="22" fillId="3" borderId="10" xfId="0" applyFont="1" applyFill="1" applyBorder="1" applyAlignment="1">
      <alignment horizontal="center" vertical="center" wrapText="1"/>
    </xf>
    <xf numFmtId="164" fontId="22" fillId="3" borderId="10" xfId="0" applyNumberFormat="1" applyFont="1" applyFill="1" applyBorder="1" applyAlignment="1">
      <alignment horizontal="center"/>
    </xf>
    <xf numFmtId="164" fontId="22" fillId="3" borderId="10" xfId="0" applyNumberFormat="1" applyFont="1" applyFill="1" applyBorder="1" applyAlignment="1">
      <alignment horizontal="center" vertical="top" wrapText="1"/>
    </xf>
    <xf numFmtId="164" fontId="51" fillId="9" borderId="43" xfId="0" applyNumberFormat="1" applyFont="1" applyFill="1" applyBorder="1" applyAlignment="1">
      <alignment horizontal="center" vertical="top" wrapText="1"/>
    </xf>
    <xf numFmtId="166" fontId="22" fillId="5" borderId="10" xfId="0" applyNumberFormat="1" applyFont="1" applyFill="1" applyBorder="1" applyAlignment="1">
      <alignment horizontal="center"/>
    </xf>
    <xf numFmtId="164" fontId="5" fillId="5" borderId="10" xfId="0" applyNumberFormat="1" applyFont="1" applyFill="1" applyBorder="1" applyAlignment="1">
      <alignment horizontal="center" vertical="top" wrapText="1"/>
    </xf>
    <xf numFmtId="166" fontId="5" fillId="5" borderId="10" xfId="0" applyNumberFormat="1" applyFont="1" applyFill="1" applyBorder="1" applyAlignment="1">
      <alignment horizontal="center" vertical="top" wrapText="1"/>
    </xf>
    <xf numFmtId="166" fontId="5" fillId="5" borderId="10" xfId="0" applyNumberFormat="1" applyFont="1" applyFill="1" applyBorder="1" applyAlignment="1">
      <alignment horizontal="center"/>
    </xf>
    <xf numFmtId="166" fontId="5" fillId="5" borderId="9" xfId="0" applyNumberFormat="1" applyFont="1" applyFill="1" applyBorder="1" applyAlignment="1">
      <alignment horizontal="center" vertical="top" wrapText="1"/>
    </xf>
    <xf numFmtId="166" fontId="5" fillId="5" borderId="7" xfId="0" applyNumberFormat="1" applyFont="1" applyFill="1" applyBorder="1" applyAlignment="1">
      <alignment horizontal="center" vertical="top" wrapText="1"/>
    </xf>
    <xf numFmtId="164" fontId="5" fillId="5" borderId="7" xfId="0" applyNumberFormat="1" applyFont="1" applyFill="1" applyBorder="1" applyAlignment="1">
      <alignment horizontal="center" vertical="top" wrapText="1"/>
    </xf>
    <xf numFmtId="49" fontId="51" fillId="7" borderId="50" xfId="0" applyNumberFormat="1" applyFont="1" applyFill="1" applyBorder="1" applyAlignment="1">
      <alignment horizontal="center"/>
    </xf>
    <xf numFmtId="14" fontId="44" fillId="4" borderId="9" xfId="0" applyNumberFormat="1" applyFont="1" applyFill="1" applyBorder="1" applyAlignment="1">
      <alignment horizontal="center"/>
    </xf>
    <xf numFmtId="165" fontId="3" fillId="4" borderId="37" xfId="0" applyNumberFormat="1" applyFont="1" applyFill="1" applyBorder="1" applyAlignment="1">
      <alignment horizontal="center"/>
    </xf>
    <xf numFmtId="1" fontId="5" fillId="3" borderId="17" xfId="0" applyNumberFormat="1" applyFont="1" applyFill="1" applyBorder="1" applyAlignment="1">
      <alignment horizontal="center"/>
    </xf>
    <xf numFmtId="1" fontId="5" fillId="3" borderId="18" xfId="0" applyNumberFormat="1" applyFont="1" applyFill="1" applyBorder="1" applyAlignment="1">
      <alignment horizontal="center"/>
    </xf>
    <xf numFmtId="1" fontId="5" fillId="3" borderId="57" xfId="0" applyNumberFormat="1" applyFont="1" applyFill="1" applyBorder="1" applyAlignment="1">
      <alignment horizontal="center"/>
    </xf>
    <xf numFmtId="164" fontId="47" fillId="3" borderId="18" xfId="0" applyNumberFormat="1" applyFont="1" applyFill="1" applyBorder="1" applyAlignment="1">
      <alignment horizontal="center" vertical="top" wrapText="1"/>
    </xf>
    <xf numFmtId="164" fontId="47" fillId="3" borderId="56" xfId="0" applyNumberFormat="1" applyFont="1" applyFill="1" applyBorder="1" applyAlignment="1">
      <alignment horizontal="center" vertical="top" wrapText="1"/>
    </xf>
    <xf numFmtId="1" fontId="47" fillId="3" borderId="9" xfId="0" applyNumberFormat="1" applyFont="1" applyFill="1" applyBorder="1" applyAlignment="1">
      <alignment horizontal="center"/>
    </xf>
    <xf numFmtId="1" fontId="22" fillId="5" borderId="7" xfId="0" applyNumberFormat="1" applyFont="1" applyFill="1" applyBorder="1" applyAlignment="1">
      <alignment horizontal="center"/>
    </xf>
    <xf numFmtId="164" fontId="47" fillId="5" borderId="46" xfId="0" applyNumberFormat="1" applyFont="1" applyFill="1" applyBorder="1" applyAlignment="1">
      <alignment horizontal="center" vertical="top" wrapText="1"/>
    </xf>
    <xf numFmtId="0" fontId="21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 vertical="top" wrapText="1"/>
    </xf>
    <xf numFmtId="166" fontId="3" fillId="0" borderId="10" xfId="0" applyNumberFormat="1" applyFont="1" applyBorder="1" applyAlignment="1">
      <alignment horizontal="center" vertical="top" wrapText="1"/>
    </xf>
    <xf numFmtId="165" fontId="5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4" fontId="3" fillId="0" borderId="9" xfId="1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0" fontId="5" fillId="0" borderId="6" xfId="0" applyFont="1" applyBorder="1" applyAlignment="1"/>
    <xf numFmtId="44" fontId="3" fillId="4" borderId="9" xfId="1" applyFont="1" applyFill="1" applyBorder="1" applyAlignment="1">
      <alignment horizontal="center"/>
    </xf>
    <xf numFmtId="165" fontId="5" fillId="4" borderId="8" xfId="0" applyNumberFormat="1" applyFont="1" applyFill="1" applyBorder="1" applyAlignment="1">
      <alignment horizontal="center"/>
    </xf>
    <xf numFmtId="164" fontId="18" fillId="4" borderId="7" xfId="0" applyNumberFormat="1" applyFont="1" applyFill="1" applyBorder="1" applyAlignment="1">
      <alignment horizontal="center" vertical="center" wrapText="1"/>
    </xf>
    <xf numFmtId="49" fontId="62" fillId="3" borderId="5" xfId="0" applyNumberFormat="1" applyFont="1" applyFill="1" applyBorder="1" applyAlignment="1">
      <alignment horizontal="center" vertical="center" wrapText="1"/>
    </xf>
    <xf numFmtId="1" fontId="62" fillId="3" borderId="5" xfId="0" applyNumberFormat="1" applyFont="1" applyFill="1" applyBorder="1" applyAlignment="1">
      <alignment horizontal="left" vertical="center"/>
    </xf>
    <xf numFmtId="1" fontId="63" fillId="4" borderId="24" xfId="0" applyNumberFormat="1" applyFont="1" applyFill="1" applyBorder="1" applyAlignment="1">
      <alignment horizontal="center"/>
    </xf>
    <xf numFmtId="1" fontId="63" fillId="4" borderId="9" xfId="0" applyNumberFormat="1" applyFont="1" applyFill="1" applyBorder="1" applyAlignment="1">
      <alignment horizontal="center"/>
    </xf>
    <xf numFmtId="1" fontId="7" fillId="4" borderId="9" xfId="0" applyNumberFormat="1" applyFont="1" applyFill="1" applyBorder="1" applyAlignment="1">
      <alignment horizontal="center"/>
    </xf>
    <xf numFmtId="1" fontId="7" fillId="4" borderId="10" xfId="0" applyNumberFormat="1" applyFont="1" applyFill="1" applyBorder="1" applyAlignment="1">
      <alignment horizontal="center"/>
    </xf>
    <xf numFmtId="14" fontId="63" fillId="4" borderId="9" xfId="0" applyNumberFormat="1" applyFont="1" applyFill="1" applyBorder="1" applyAlignment="1">
      <alignment horizontal="center"/>
    </xf>
    <xf numFmtId="14" fontId="43" fillId="4" borderId="9" xfId="0" applyNumberFormat="1" applyFont="1" applyFill="1" applyBorder="1" applyAlignment="1">
      <alignment horizontal="center"/>
    </xf>
    <xf numFmtId="14" fontId="44" fillId="4" borderId="10" xfId="0" applyNumberFormat="1" applyFont="1" applyFill="1" applyBorder="1" applyAlignment="1">
      <alignment horizontal="center"/>
    </xf>
    <xf numFmtId="49" fontId="63" fillId="7" borderId="30" xfId="0" applyNumberFormat="1" applyFont="1" applyFill="1" applyBorder="1" applyAlignment="1">
      <alignment horizontal="center"/>
    </xf>
    <xf numFmtId="49" fontId="64" fillId="7" borderId="33" xfId="0" applyNumberFormat="1" applyFont="1" applyFill="1" applyBorder="1" applyAlignment="1">
      <alignment horizontal="center"/>
    </xf>
    <xf numFmtId="14" fontId="7" fillId="4" borderId="10" xfId="0" applyNumberFormat="1" applyFont="1" applyFill="1" applyBorder="1" applyAlignment="1">
      <alignment horizontal="center"/>
    </xf>
    <xf numFmtId="14" fontId="65" fillId="4" borderId="10" xfId="0" applyNumberFormat="1" applyFont="1" applyFill="1" applyBorder="1" applyAlignment="1">
      <alignment horizontal="center"/>
    </xf>
    <xf numFmtId="1" fontId="15" fillId="4" borderId="10" xfId="0" applyNumberFormat="1" applyFont="1" applyFill="1" applyBorder="1" applyAlignment="1">
      <alignment horizontal="center"/>
    </xf>
    <xf numFmtId="0" fontId="54" fillId="4" borderId="46" xfId="0" applyFont="1" applyFill="1" applyBorder="1" applyAlignment="1">
      <alignment horizontal="center" vertical="top" wrapText="1"/>
    </xf>
    <xf numFmtId="167" fontId="51" fillId="4" borderId="45" xfId="0" applyNumberFormat="1" applyFont="1" applyFill="1" applyBorder="1" applyAlignment="1"/>
    <xf numFmtId="164" fontId="5" fillId="4" borderId="46" xfId="0" applyNumberFormat="1" applyFont="1" applyFill="1" applyBorder="1" applyAlignment="1">
      <alignment horizontal="center" vertical="top" wrapText="1"/>
    </xf>
    <xf numFmtId="164" fontId="47" fillId="4" borderId="57" xfId="0" applyNumberFormat="1" applyFont="1" applyFill="1" applyBorder="1" applyAlignment="1">
      <alignment horizontal="center" vertical="top" wrapText="1"/>
    </xf>
    <xf numFmtId="1" fontId="15" fillId="4" borderId="46" xfId="0" applyNumberFormat="1" applyFont="1" applyFill="1" applyBorder="1" applyAlignment="1">
      <alignment horizontal="center"/>
    </xf>
    <xf numFmtId="1" fontId="5" fillId="4" borderId="46" xfId="0" applyNumberFormat="1" applyFont="1" applyFill="1" applyBorder="1" applyAlignment="1">
      <alignment horizontal="center"/>
    </xf>
    <xf numFmtId="14" fontId="5" fillId="4" borderId="46" xfId="0" applyNumberFormat="1" applyFont="1" applyFill="1" applyBorder="1" applyAlignment="1">
      <alignment horizontal="center"/>
    </xf>
    <xf numFmtId="14" fontId="15" fillId="4" borderId="46" xfId="0" applyNumberFormat="1" applyFont="1" applyFill="1" applyBorder="1" applyAlignment="1">
      <alignment horizontal="center"/>
    </xf>
    <xf numFmtId="14" fontId="15" fillId="4" borderId="10" xfId="0" applyNumberFormat="1" applyFont="1" applyFill="1" applyBorder="1" applyAlignment="1">
      <alignment horizontal="center"/>
    </xf>
    <xf numFmtId="0" fontId="5" fillId="4" borderId="49" xfId="0" applyFont="1" applyFill="1" applyBorder="1" applyAlignment="1">
      <alignment horizontal="left" vertical="center"/>
    </xf>
    <xf numFmtId="167" fontId="5" fillId="4" borderId="21" xfId="0" applyNumberFormat="1" applyFont="1" applyFill="1" applyBorder="1" applyAlignment="1"/>
    <xf numFmtId="164" fontId="5" fillId="4" borderId="7" xfId="0" applyNumberFormat="1" applyFont="1" applyFill="1" applyBorder="1" applyAlignment="1">
      <alignment horizontal="center" vertical="top" wrapText="1"/>
    </xf>
    <xf numFmtId="165" fontId="47" fillId="4" borderId="10" xfId="0" applyNumberFormat="1" applyFont="1" applyFill="1" applyBorder="1" applyAlignment="1">
      <alignment horizontal="center"/>
    </xf>
    <xf numFmtId="1" fontId="5" fillId="4" borderId="7" xfId="0" applyNumberFormat="1" applyFont="1" applyFill="1" applyBorder="1" applyAlignment="1">
      <alignment horizontal="center"/>
    </xf>
    <xf numFmtId="1" fontId="66" fillId="4" borderId="24" xfId="0" applyNumberFormat="1" applyFont="1" applyFill="1" applyBorder="1" applyAlignment="1">
      <alignment horizontal="center"/>
    </xf>
    <xf numFmtId="1" fontId="15" fillId="4" borderId="58" xfId="0" applyNumberFormat="1" applyFont="1" applyFill="1" applyBorder="1" applyAlignment="1">
      <alignment horizontal="center"/>
    </xf>
    <xf numFmtId="14" fontId="15" fillId="4" borderId="0" xfId="0" applyNumberFormat="1" applyFont="1" applyFill="1" applyAlignment="1">
      <alignment horizontal="center"/>
    </xf>
    <xf numFmtId="49" fontId="68" fillId="3" borderId="5" xfId="0" applyNumberFormat="1" applyFont="1" applyFill="1" applyBorder="1" applyAlignment="1">
      <alignment horizontal="left" vertical="center"/>
    </xf>
    <xf numFmtId="49" fontId="70" fillId="3" borderId="5" xfId="0" applyNumberFormat="1" applyFont="1" applyFill="1" applyBorder="1" applyAlignment="1">
      <alignment horizontal="left" vertical="center"/>
    </xf>
    <xf numFmtId="165" fontId="22" fillId="3" borderId="60" xfId="0" applyNumberFormat="1" applyFont="1" applyFill="1" applyBorder="1" applyAlignment="1">
      <alignment horizontal="center"/>
    </xf>
    <xf numFmtId="1" fontId="71" fillId="3" borderId="5" xfId="0" applyNumberFormat="1" applyFont="1" applyFill="1" applyBorder="1" applyAlignment="1">
      <alignment horizontal="left" vertical="center"/>
    </xf>
    <xf numFmtId="165" fontId="22" fillId="4" borderId="60" xfId="0" applyNumberFormat="1" applyFont="1" applyFill="1" applyBorder="1" applyAlignment="1">
      <alignment horizontal="center"/>
    </xf>
    <xf numFmtId="165" fontId="3" fillId="3" borderId="61" xfId="0" applyNumberFormat="1" applyFont="1" applyFill="1" applyBorder="1" applyAlignment="1"/>
    <xf numFmtId="165" fontId="3" fillId="3" borderId="0" xfId="0" applyNumberFormat="1" applyFont="1" applyFill="1" applyAlignment="1"/>
    <xf numFmtId="165" fontId="3" fillId="0" borderId="0" xfId="0" applyNumberFormat="1" applyFont="1" applyAlignment="1"/>
    <xf numFmtId="0" fontId="63" fillId="4" borderId="10" xfId="0" applyFont="1" applyFill="1" applyBorder="1" applyAlignment="1">
      <alignment horizontal="center"/>
    </xf>
    <xf numFmtId="49" fontId="64" fillId="7" borderId="28" xfId="0" applyNumberFormat="1" applyFont="1" applyFill="1" applyBorder="1" applyAlignment="1">
      <alignment horizontal="center"/>
    </xf>
    <xf numFmtId="49" fontId="64" fillId="7" borderId="30" xfId="0" applyNumberFormat="1" applyFont="1" applyFill="1" applyBorder="1" applyAlignment="1">
      <alignment horizontal="center"/>
    </xf>
    <xf numFmtId="164" fontId="49" fillId="4" borderId="9" xfId="0" applyNumberFormat="1" applyFont="1" applyFill="1" applyBorder="1" applyAlignment="1">
      <alignment horizontal="center" vertical="top" wrapText="1"/>
    </xf>
    <xf numFmtId="1" fontId="7" fillId="4" borderId="7" xfId="0" applyNumberFormat="1" applyFont="1" applyFill="1" applyBorder="1" applyAlignment="1">
      <alignment horizontal="center"/>
    </xf>
    <xf numFmtId="49" fontId="7" fillId="4" borderId="10" xfId="0" applyNumberFormat="1" applyFont="1" applyFill="1" applyBorder="1" applyAlignment="1">
      <alignment horizontal="center"/>
    </xf>
    <xf numFmtId="14" fontId="7" fillId="3" borderId="10" xfId="0" applyNumberFormat="1" applyFont="1" applyFill="1" applyBorder="1" applyAlignment="1">
      <alignment horizontal="center"/>
    </xf>
    <xf numFmtId="1" fontId="74" fillId="3" borderId="5" xfId="0" applyNumberFormat="1" applyFont="1" applyFill="1" applyBorder="1" applyAlignment="1">
      <alignment horizontal="left" vertical="center"/>
    </xf>
    <xf numFmtId="0" fontId="67" fillId="7" borderId="21" xfId="0" applyFont="1" applyFill="1" applyBorder="1">
      <alignment vertical="top" wrapText="1"/>
    </xf>
    <xf numFmtId="49" fontId="67" fillId="9" borderId="33" xfId="0" applyNumberFormat="1" applyFont="1" applyFill="1" applyBorder="1" applyAlignment="1">
      <alignment horizontal="center"/>
    </xf>
    <xf numFmtId="49" fontId="67" fillId="9" borderId="32" xfId="0" applyNumberFormat="1" applyFont="1" applyFill="1" applyBorder="1" applyAlignment="1">
      <alignment horizontal="center"/>
    </xf>
    <xf numFmtId="49" fontId="15" fillId="4" borderId="46" xfId="0" applyNumberFormat="1" applyFont="1" applyFill="1" applyBorder="1" applyAlignment="1">
      <alignment horizontal="center"/>
    </xf>
    <xf numFmtId="0" fontId="15" fillId="4" borderId="0" xfId="0" applyFont="1" applyFill="1">
      <alignment vertical="top" wrapText="1"/>
    </xf>
    <xf numFmtId="1" fontId="15" fillId="4" borderId="9" xfId="0" applyNumberFormat="1" applyFont="1" applyFill="1" applyBorder="1" applyAlignment="1">
      <alignment horizontal="center"/>
    </xf>
    <xf numFmtId="165" fontId="47" fillId="3" borderId="60" xfId="0" applyNumberFormat="1" applyFont="1" applyFill="1" applyBorder="1" applyAlignment="1">
      <alignment horizontal="center"/>
    </xf>
    <xf numFmtId="165" fontId="75" fillId="3" borderId="60" xfId="0" applyNumberFormat="1" applyFont="1" applyFill="1" applyBorder="1" applyAlignment="1">
      <alignment horizontal="center"/>
    </xf>
    <xf numFmtId="165" fontId="75" fillId="4" borderId="60" xfId="0" applyNumberFormat="1" applyFont="1" applyFill="1" applyBorder="1" applyAlignment="1">
      <alignment horizontal="center"/>
    </xf>
    <xf numFmtId="166" fontId="41" fillId="4" borderId="7" xfId="0" applyNumberFormat="1" applyFont="1" applyFill="1" applyBorder="1" applyAlignment="1">
      <alignment horizontal="center" vertical="top" wrapText="1"/>
    </xf>
    <xf numFmtId="164" fontId="27" fillId="4" borderId="7" xfId="0" applyNumberFormat="1" applyFont="1" applyFill="1" applyBorder="1" applyAlignment="1">
      <alignment horizontal="center" vertical="top" wrapText="1"/>
    </xf>
    <xf numFmtId="164" fontId="35" fillId="4" borderId="7" xfId="0" applyNumberFormat="1" applyFont="1" applyFill="1" applyBorder="1" applyAlignment="1">
      <alignment horizontal="center" vertical="top" wrapText="1"/>
    </xf>
    <xf numFmtId="49" fontId="64" fillId="7" borderId="29" xfId="0" applyNumberFormat="1" applyFont="1" applyFill="1" applyBorder="1" applyAlignment="1">
      <alignment horizontal="center"/>
    </xf>
    <xf numFmtId="0" fontId="73" fillId="7" borderId="21" xfId="0" applyFont="1" applyFill="1" applyBorder="1">
      <alignment vertical="top" wrapText="1"/>
    </xf>
    <xf numFmtId="0" fontId="5" fillId="4" borderId="8" xfId="0" applyFont="1" applyFill="1" applyBorder="1" applyAlignment="1">
      <alignment horizontal="center"/>
    </xf>
    <xf numFmtId="0" fontId="15" fillId="4" borderId="6" xfId="0" applyFont="1" applyFill="1" applyBorder="1" applyAlignment="1"/>
    <xf numFmtId="0" fontId="72" fillId="4" borderId="13" xfId="0" applyFont="1" applyFill="1" applyBorder="1">
      <alignment vertical="top" wrapText="1"/>
    </xf>
    <xf numFmtId="1" fontId="5" fillId="4" borderId="6" xfId="0" applyNumberFormat="1" applyFont="1" applyFill="1" applyBorder="1" applyAlignment="1"/>
    <xf numFmtId="0" fontId="30" fillId="4" borderId="7" xfId="0" applyFont="1" applyFill="1" applyBorder="1" applyAlignment="1">
      <alignment horizontal="center" vertical="top" wrapText="1"/>
    </xf>
    <xf numFmtId="164" fontId="36" fillId="4" borderId="7" xfId="0" applyNumberFormat="1" applyFont="1" applyFill="1" applyBorder="1" applyAlignment="1">
      <alignment horizontal="center" vertical="top" wrapText="1"/>
    </xf>
    <xf numFmtId="49" fontId="7" fillId="4" borderId="7" xfId="0" applyNumberFormat="1" applyFont="1" applyFill="1" applyBorder="1" applyAlignment="1">
      <alignment horizontal="center"/>
    </xf>
    <xf numFmtId="49" fontId="32" fillId="3" borderId="5" xfId="0" applyNumberFormat="1" applyFont="1" applyFill="1" applyBorder="1" applyAlignment="1">
      <alignment horizontal="center" vertical="center" wrapText="1"/>
    </xf>
    <xf numFmtId="1" fontId="18" fillId="4" borderId="24" xfId="0" applyNumberFormat="1" applyFont="1" applyFill="1" applyBorder="1" applyAlignment="1">
      <alignment horizontal="center"/>
    </xf>
    <xf numFmtId="1" fontId="32" fillId="3" borderId="5" xfId="0" applyNumberFormat="1" applyFont="1" applyFill="1" applyBorder="1" applyAlignment="1">
      <alignment horizontal="left" vertical="center"/>
    </xf>
    <xf numFmtId="1" fontId="66" fillId="3" borderId="24" xfId="0" applyNumberFormat="1" applyFont="1" applyFill="1" applyBorder="1" applyAlignment="1">
      <alignment horizontal="center"/>
    </xf>
    <xf numFmtId="1" fontId="15" fillId="3" borderId="56" xfId="0" applyNumberFormat="1" applyFont="1" applyFill="1" applyBorder="1" applyAlignment="1">
      <alignment horizontal="center"/>
    </xf>
    <xf numFmtId="14" fontId="15" fillId="3" borderId="46" xfId="0" applyNumberFormat="1" applyFont="1" applyFill="1" applyBorder="1" applyAlignment="1">
      <alignment horizontal="center"/>
    </xf>
    <xf numFmtId="14" fontId="15" fillId="3" borderId="0" xfId="0" applyNumberFormat="1" applyFont="1" applyFill="1" applyAlignment="1">
      <alignment horizontal="center"/>
    </xf>
    <xf numFmtId="166" fontId="76" fillId="3" borderId="9" xfId="0" applyNumberFormat="1" applyFont="1" applyFill="1" applyBorder="1" applyAlignment="1">
      <alignment horizontal="center" vertical="top" wrapText="1"/>
    </xf>
    <xf numFmtId="166" fontId="76" fillId="3" borderId="10" xfId="0" applyNumberFormat="1" applyFont="1" applyFill="1" applyBorder="1" applyAlignment="1">
      <alignment horizontal="center" vertical="top" wrapText="1"/>
    </xf>
    <xf numFmtId="166" fontId="76" fillId="3" borderId="7" xfId="0" applyNumberFormat="1" applyFont="1" applyFill="1" applyBorder="1" applyAlignment="1">
      <alignment horizontal="center" vertical="top" wrapText="1"/>
    </xf>
    <xf numFmtId="166" fontId="76" fillId="3" borderId="46" xfId="0" applyNumberFormat="1" applyFont="1" applyFill="1" applyBorder="1" applyAlignment="1">
      <alignment horizontal="center" vertical="top" wrapText="1"/>
    </xf>
    <xf numFmtId="166" fontId="76" fillId="4" borderId="46" xfId="0" applyNumberFormat="1" applyFont="1" applyFill="1" applyBorder="1" applyAlignment="1">
      <alignment horizontal="center" vertical="top" wrapText="1"/>
    </xf>
    <xf numFmtId="166" fontId="76" fillId="4" borderId="7" xfId="0" applyNumberFormat="1" applyFont="1" applyFill="1" applyBorder="1" applyAlignment="1">
      <alignment horizontal="center" vertical="top" wrapText="1"/>
    </xf>
    <xf numFmtId="166" fontId="76" fillId="5" borderId="46" xfId="0" applyNumberFormat="1" applyFont="1" applyFill="1" applyBorder="1" applyAlignment="1">
      <alignment horizontal="center" vertical="top" wrapText="1"/>
    </xf>
    <xf numFmtId="166" fontId="76" fillId="3" borderId="18" xfId="0" applyNumberFormat="1" applyFont="1" applyFill="1" applyBorder="1" applyAlignment="1">
      <alignment horizontal="center" vertical="top" wrapText="1"/>
    </xf>
    <xf numFmtId="166" fontId="76" fillId="3" borderId="56" xfId="0" applyNumberFormat="1" applyFont="1" applyFill="1" applyBorder="1" applyAlignment="1">
      <alignment horizontal="center" vertical="top" wrapText="1"/>
    </xf>
    <xf numFmtId="166" fontId="76" fillId="4" borderId="57" xfId="0" applyNumberFormat="1" applyFont="1" applyFill="1" applyBorder="1" applyAlignment="1">
      <alignment horizontal="center" vertical="top" wrapText="1"/>
    </xf>
    <xf numFmtId="166" fontId="77" fillId="3" borderId="9" xfId="0" applyNumberFormat="1" applyFont="1" applyFill="1" applyBorder="1" applyAlignment="1">
      <alignment horizontal="center"/>
    </xf>
    <xf numFmtId="166" fontId="77" fillId="3" borderId="10" xfId="0" applyNumberFormat="1" applyFont="1" applyFill="1" applyBorder="1" applyAlignment="1">
      <alignment horizontal="center"/>
    </xf>
    <xf numFmtId="166" fontId="76" fillId="4" borderId="10" xfId="0" applyNumberFormat="1" applyFont="1" applyFill="1" applyBorder="1" applyAlignment="1">
      <alignment horizontal="center"/>
    </xf>
    <xf numFmtId="166" fontId="76" fillId="3" borderId="10" xfId="0" applyNumberFormat="1" applyFont="1" applyFill="1" applyBorder="1" applyAlignment="1">
      <alignment horizontal="center"/>
    </xf>
    <xf numFmtId="165" fontId="22" fillId="3" borderId="63" xfId="0" applyNumberFormat="1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4" borderId="64" xfId="0" applyNumberFormat="1" applyFont="1" applyFill="1" applyBorder="1" applyAlignment="1">
      <alignment horizontal="center"/>
    </xf>
    <xf numFmtId="1" fontId="27" fillId="4" borderId="65" xfId="0" applyNumberFormat="1" applyFont="1" applyFill="1" applyBorder="1" applyAlignment="1">
      <alignment horizontal="center"/>
    </xf>
    <xf numFmtId="1" fontId="18" fillId="4" borderId="64" xfId="0" applyNumberFormat="1" applyFont="1" applyFill="1" applyBorder="1" applyAlignment="1">
      <alignment horizontal="center"/>
    </xf>
    <xf numFmtId="1" fontId="3" fillId="4" borderId="65" xfId="0" applyNumberFormat="1" applyFont="1" applyFill="1" applyBorder="1" applyAlignment="1">
      <alignment horizontal="center"/>
    </xf>
    <xf numFmtId="1" fontId="3" fillId="3" borderId="64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 vertical="center" wrapText="1"/>
    </xf>
    <xf numFmtId="44" fontId="24" fillId="3" borderId="62" xfId="0" applyNumberFormat="1" applyFont="1" applyFill="1" applyBorder="1">
      <alignment vertical="top" wrapText="1"/>
    </xf>
    <xf numFmtId="0" fontId="31" fillId="4" borderId="7" xfId="0" applyFont="1" applyFill="1" applyBorder="1" applyAlignment="1">
      <alignment horizontal="center" vertical="top" wrapText="1"/>
    </xf>
    <xf numFmtId="0" fontId="14" fillId="4" borderId="13" xfId="0" applyFont="1" applyFill="1" applyBorder="1">
      <alignment vertical="top" wrapText="1"/>
    </xf>
    <xf numFmtId="14" fontId="7" fillId="4" borderId="9" xfId="0" applyNumberFormat="1" applyFont="1" applyFill="1" applyBorder="1" applyAlignment="1">
      <alignment horizontal="center"/>
    </xf>
    <xf numFmtId="165" fontId="22" fillId="10" borderId="10" xfId="0" applyNumberFormat="1" applyFont="1" applyFill="1" applyBorder="1" applyAlignment="1">
      <alignment horizontal="center"/>
    </xf>
    <xf numFmtId="164" fontId="18" fillId="12" borderId="10" xfId="0" applyNumberFormat="1" applyFont="1" applyFill="1" applyBorder="1" applyAlignment="1">
      <alignment horizontal="center" vertical="top" wrapText="1"/>
    </xf>
    <xf numFmtId="0" fontId="21" fillId="12" borderId="9" xfId="0" applyFont="1" applyFill="1" applyBorder="1" applyAlignment="1">
      <alignment horizontal="center" vertical="top" wrapText="1"/>
    </xf>
    <xf numFmtId="0" fontId="18" fillId="12" borderId="10" xfId="0" applyFont="1" applyFill="1" applyBorder="1" applyAlignment="1">
      <alignment horizontal="center" vertical="top" wrapText="1"/>
    </xf>
    <xf numFmtId="0" fontId="18" fillId="12" borderId="10" xfId="0" applyFont="1" applyFill="1" applyBorder="1" applyAlignment="1">
      <alignment horizontal="center" vertical="center" wrapText="1"/>
    </xf>
    <xf numFmtId="164" fontId="18" fillId="12" borderId="10" xfId="0" applyNumberFormat="1" applyFont="1" applyFill="1" applyBorder="1" applyAlignment="1">
      <alignment horizontal="center"/>
    </xf>
    <xf numFmtId="166" fontId="18" fillId="12" borderId="10" xfId="0" applyNumberFormat="1" applyFont="1" applyFill="1" applyBorder="1" applyAlignment="1">
      <alignment horizontal="center"/>
    </xf>
    <xf numFmtId="165" fontId="5" fillId="12" borderId="10" xfId="0" applyNumberFormat="1" applyFont="1" applyFill="1" applyBorder="1" applyAlignment="1">
      <alignment horizontal="center"/>
    </xf>
    <xf numFmtId="165" fontId="22" fillId="12" borderId="63" xfId="0" applyNumberFormat="1" applyFont="1" applyFill="1" applyBorder="1" applyAlignment="1">
      <alignment horizontal="center"/>
    </xf>
    <xf numFmtId="44" fontId="24" fillId="12" borderId="62" xfId="0" applyNumberFormat="1" applyFont="1" applyFill="1" applyBorder="1">
      <alignment vertical="top" wrapText="1"/>
    </xf>
    <xf numFmtId="1" fontId="18" fillId="12" borderId="15" xfId="0" applyNumberFormat="1" applyFont="1" applyFill="1" applyBorder="1" applyAlignment="1">
      <alignment horizontal="center"/>
    </xf>
    <xf numFmtId="1" fontId="18" fillId="12" borderId="10" xfId="0" applyNumberFormat="1" applyFont="1" applyFill="1" applyBorder="1" applyAlignment="1">
      <alignment horizontal="center"/>
    </xf>
    <xf numFmtId="14" fontId="18" fillId="12" borderId="10" xfId="0" applyNumberFormat="1" applyFont="1" applyFill="1" applyBorder="1" applyAlignment="1">
      <alignment horizontal="center"/>
    </xf>
    <xf numFmtId="0" fontId="31" fillId="5" borderId="9" xfId="0" applyFont="1" applyFill="1" applyBorder="1" applyAlignment="1">
      <alignment horizontal="center" vertical="top" wrapText="1"/>
    </xf>
    <xf numFmtId="0" fontId="31" fillId="5" borderId="10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horizontal="center" vertical="center" wrapText="1"/>
    </xf>
    <xf numFmtId="164" fontId="3" fillId="5" borderId="13" xfId="0" applyNumberFormat="1" applyFont="1" applyFill="1" applyBorder="1" applyAlignment="1">
      <alignment horizontal="center"/>
    </xf>
    <xf numFmtId="164" fontId="3" fillId="5" borderId="15" xfId="0" applyNumberFormat="1" applyFont="1" applyFill="1" applyBorder="1" applyAlignment="1">
      <alignment horizontal="center"/>
    </xf>
    <xf numFmtId="164" fontId="3" fillId="5" borderId="10" xfId="0" applyNumberFormat="1" applyFont="1" applyFill="1" applyBorder="1" applyAlignment="1">
      <alignment horizontal="center"/>
    </xf>
    <xf numFmtId="164" fontId="3" fillId="5" borderId="10" xfId="0" applyNumberFormat="1" applyFont="1" applyFill="1" applyBorder="1" applyAlignment="1">
      <alignment horizontal="center" vertical="top" wrapText="1"/>
    </xf>
    <xf numFmtId="164" fontId="49" fillId="5" borderId="10" xfId="0" applyNumberFormat="1" applyFont="1" applyFill="1" applyBorder="1" applyAlignment="1">
      <alignment horizontal="center" vertical="top" wrapText="1"/>
    </xf>
    <xf numFmtId="166" fontId="3" fillId="5" borderId="10" xfId="0" applyNumberFormat="1" applyFont="1" applyFill="1" applyBorder="1" applyAlignment="1">
      <alignment horizontal="center" vertical="top" wrapText="1"/>
    </xf>
    <xf numFmtId="165" fontId="5" fillId="5" borderId="10" xfId="0" applyNumberFormat="1" applyFont="1" applyFill="1" applyBorder="1" applyAlignment="1">
      <alignment horizontal="center"/>
    </xf>
    <xf numFmtId="165" fontId="22" fillId="5" borderId="60" xfId="0" applyNumberFormat="1" applyFont="1" applyFill="1" applyBorder="1" applyAlignment="1">
      <alignment horizontal="center"/>
    </xf>
    <xf numFmtId="1" fontId="3" fillId="5" borderId="10" xfId="0" applyNumberFormat="1" applyFont="1" applyFill="1" applyBorder="1" applyAlignment="1">
      <alignment horizontal="center"/>
    </xf>
    <xf numFmtId="1" fontId="3" fillId="5" borderId="9" xfId="0" applyNumberFormat="1" applyFont="1" applyFill="1" applyBorder="1" applyAlignment="1">
      <alignment horizontal="center"/>
    </xf>
    <xf numFmtId="14" fontId="3" fillId="5" borderId="10" xfId="0" applyNumberFormat="1" applyFont="1" applyFill="1" applyBorder="1" applyAlignment="1">
      <alignment horizontal="center"/>
    </xf>
    <xf numFmtId="0" fontId="31" fillId="5" borderId="7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center" wrapText="1"/>
    </xf>
    <xf numFmtId="164" fontId="3" fillId="5" borderId="19" xfId="0" applyNumberFormat="1" applyFont="1" applyFill="1" applyBorder="1" applyAlignment="1">
      <alignment horizontal="center"/>
    </xf>
    <xf numFmtId="164" fontId="3" fillId="5" borderId="7" xfId="0" applyNumberFormat="1" applyFont="1" applyFill="1" applyBorder="1" applyAlignment="1">
      <alignment horizontal="center"/>
    </xf>
    <xf numFmtId="164" fontId="3" fillId="5" borderId="7" xfId="0" applyNumberFormat="1" applyFont="1" applyFill="1" applyBorder="1" applyAlignment="1">
      <alignment horizontal="center" vertical="top" wrapText="1"/>
    </xf>
    <xf numFmtId="164" fontId="49" fillId="5" borderId="7" xfId="0" applyNumberFormat="1" applyFont="1" applyFill="1" applyBorder="1" applyAlignment="1">
      <alignment horizontal="center" vertical="top" wrapText="1"/>
    </xf>
    <xf numFmtId="166" fontId="3" fillId="5" borderId="7" xfId="0" applyNumberFormat="1" applyFont="1" applyFill="1" applyBorder="1" applyAlignment="1">
      <alignment horizontal="center" vertical="top" wrapText="1"/>
    </xf>
    <xf numFmtId="1" fontId="3" fillId="5" borderId="7" xfId="0" applyNumberFormat="1" applyFont="1" applyFill="1" applyBorder="1" applyAlignment="1">
      <alignment horizontal="center"/>
    </xf>
    <xf numFmtId="14" fontId="3" fillId="5" borderId="7" xfId="0" applyNumberFormat="1" applyFont="1" applyFill="1" applyBorder="1" applyAlignment="1">
      <alignment horizontal="center"/>
    </xf>
    <xf numFmtId="17" fontId="17" fillId="0" borderId="5" xfId="0" applyNumberFormat="1" applyFont="1" applyBorder="1" applyAlignment="1">
      <alignment horizontal="center" vertical="center" wrapText="1"/>
    </xf>
    <xf numFmtId="17" fontId="32" fillId="0" borderId="5" xfId="0" applyNumberFormat="1" applyFont="1" applyBorder="1" applyAlignment="1">
      <alignment horizontal="center" vertical="center" wrapText="1"/>
    </xf>
    <xf numFmtId="17" fontId="17" fillId="3" borderId="5" xfId="0" applyNumberFormat="1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44" fontId="46" fillId="5" borderId="12" xfId="1" applyFont="1" applyFill="1" applyBorder="1" applyAlignment="1">
      <alignment horizontal="center" vertical="center" wrapText="1"/>
    </xf>
    <xf numFmtId="44" fontId="46" fillId="5" borderId="22" xfId="1" applyFont="1" applyFill="1" applyBorder="1" applyAlignment="1">
      <alignment horizontal="center" vertical="center" wrapText="1"/>
    </xf>
    <xf numFmtId="17" fontId="53" fillId="3" borderId="5" xfId="0" applyNumberFormat="1" applyFont="1" applyFill="1" applyBorder="1" applyAlignment="1">
      <alignment horizontal="center" vertical="center" wrapText="1"/>
    </xf>
    <xf numFmtId="0" fontId="69" fillId="3" borderId="59" xfId="0" applyFont="1" applyFill="1" applyBorder="1" applyAlignment="1">
      <alignment horizontal="center" vertical="top" wrapText="1"/>
    </xf>
    <xf numFmtId="0" fontId="55" fillId="5" borderId="9" xfId="0" applyFont="1" applyFill="1" applyBorder="1" applyAlignment="1">
      <alignment horizontal="center" vertical="top" wrapText="1"/>
    </xf>
    <xf numFmtId="0" fontId="55" fillId="5" borderId="10" xfId="0" applyFont="1" applyFill="1" applyBorder="1" applyAlignment="1">
      <alignment horizontal="center" vertical="top" wrapText="1"/>
    </xf>
    <xf numFmtId="0" fontId="5" fillId="5" borderId="10" xfId="0" applyFont="1" applyFill="1" applyBorder="1" applyAlignment="1">
      <alignment horizontal="center" vertical="center" wrapText="1"/>
    </xf>
    <xf numFmtId="164" fontId="5" fillId="5" borderId="10" xfId="0" applyNumberFormat="1" applyFont="1" applyFill="1" applyBorder="1" applyAlignment="1">
      <alignment horizontal="center"/>
    </xf>
    <xf numFmtId="164" fontId="5" fillId="5" borderId="9" xfId="0" applyNumberFormat="1" applyFont="1" applyFill="1" applyBorder="1" applyAlignment="1">
      <alignment horizontal="center"/>
    </xf>
    <xf numFmtId="165" fontId="47" fillId="5" borderId="60" xfId="0" applyNumberFormat="1" applyFont="1" applyFill="1" applyBorder="1" applyAlignment="1">
      <alignment horizontal="center"/>
    </xf>
    <xf numFmtId="165" fontId="75" fillId="5" borderId="60" xfId="0" applyNumberFormat="1" applyFont="1" applyFill="1" applyBorder="1" applyAlignment="1">
      <alignment horizontal="center"/>
    </xf>
    <xf numFmtId="1" fontId="5" fillId="5" borderId="10" xfId="0" applyNumberFormat="1" applyFont="1" applyFill="1" applyBorder="1" applyAlignment="1">
      <alignment horizontal="center"/>
    </xf>
    <xf numFmtId="14" fontId="5" fillId="5" borderId="10" xfId="0" applyNumberFormat="1" applyFont="1" applyFill="1" applyBorder="1" applyAlignment="1">
      <alignment horizontal="center"/>
    </xf>
    <xf numFmtId="0" fontId="27" fillId="5" borderId="9" xfId="0" applyFont="1" applyFill="1" applyBorder="1" applyAlignment="1">
      <alignment horizontal="center" vertical="top" wrapText="1"/>
    </xf>
    <xf numFmtId="0" fontId="18" fillId="5" borderId="10" xfId="0" applyFont="1" applyFill="1" applyBorder="1" applyAlignment="1">
      <alignment horizontal="center" vertical="top" wrapText="1"/>
    </xf>
    <xf numFmtId="164" fontId="18" fillId="5" borderId="18" xfId="0" applyNumberFormat="1" applyFont="1" applyFill="1" applyBorder="1" applyAlignment="1">
      <alignment horizontal="center" vertical="top" wrapText="1"/>
    </xf>
    <xf numFmtId="164" fontId="18" fillId="5" borderId="10" xfId="0" applyNumberFormat="1" applyFont="1" applyFill="1" applyBorder="1" applyAlignment="1">
      <alignment horizontal="center" vertical="top" wrapText="1"/>
    </xf>
    <xf numFmtId="164" fontId="18" fillId="5" borderId="14" xfId="0" applyNumberFormat="1" applyFont="1" applyFill="1" applyBorder="1" applyAlignment="1">
      <alignment horizontal="center" vertical="top" wrapText="1"/>
    </xf>
    <xf numFmtId="164" fontId="18" fillId="5" borderId="13" xfId="0" applyNumberFormat="1" applyFont="1" applyFill="1" applyBorder="1" applyAlignment="1">
      <alignment horizontal="center" vertical="top" wrapText="1"/>
    </xf>
    <xf numFmtId="164" fontId="18" fillId="5" borderId="15" xfId="0" applyNumberFormat="1" applyFont="1" applyFill="1" applyBorder="1" applyAlignment="1">
      <alignment horizontal="center" vertical="top" wrapText="1"/>
    </xf>
    <xf numFmtId="164" fontId="18" fillId="5" borderId="9" xfId="0" applyNumberFormat="1" applyFont="1" applyFill="1" applyBorder="1" applyAlignment="1">
      <alignment horizontal="center" vertical="top" wrapText="1"/>
    </xf>
    <xf numFmtId="165" fontId="22" fillId="5" borderId="10" xfId="0" applyNumberFormat="1" applyFont="1" applyFill="1" applyBorder="1" applyAlignment="1">
      <alignment horizontal="center"/>
    </xf>
    <xf numFmtId="0" fontId="18" fillId="5" borderId="10" xfId="0" applyFont="1" applyFill="1" applyBorder="1" applyAlignment="1">
      <alignment horizontal="center"/>
    </xf>
    <xf numFmtId="0" fontId="18" fillId="5" borderId="9" xfId="0" applyFont="1" applyFill="1" applyBorder="1" applyAlignment="1">
      <alignment horizontal="center"/>
    </xf>
    <xf numFmtId="1" fontId="18" fillId="5" borderId="14" xfId="0" applyNumberFormat="1" applyFont="1" applyFill="1" applyBorder="1" applyAlignment="1">
      <alignment horizontal="center"/>
    </xf>
    <xf numFmtId="1" fontId="18" fillId="5" borderId="13" xfId="0" applyNumberFormat="1" applyFont="1" applyFill="1" applyBorder="1" applyAlignment="1">
      <alignment horizontal="center"/>
    </xf>
    <xf numFmtId="14" fontId="18" fillId="5" borderId="10" xfId="0" applyNumberFormat="1" applyFont="1" applyFill="1" applyBorder="1" applyAlignment="1">
      <alignment horizontal="center"/>
    </xf>
    <xf numFmtId="165" fontId="22" fillId="4" borderId="63" xfId="0" applyNumberFormat="1" applyFont="1" applyFill="1" applyBorder="1" applyAlignment="1">
      <alignment horizontal="center"/>
    </xf>
    <xf numFmtId="44" fontId="24" fillId="4" borderId="62" xfId="0" applyNumberFormat="1" applyFont="1" applyFill="1" applyBorder="1">
      <alignment vertical="top" wrapText="1"/>
    </xf>
    <xf numFmtId="14" fontId="12" fillId="4" borderId="7" xfId="0" applyNumberFormat="1" applyFont="1" applyFill="1" applyBorder="1" applyAlignment="1">
      <alignment horizontal="center"/>
    </xf>
    <xf numFmtId="0" fontId="21" fillId="4" borderId="9" xfId="0" applyFont="1" applyFill="1" applyBorder="1" applyAlignment="1">
      <alignment horizontal="center" vertical="center" wrapText="1"/>
    </xf>
    <xf numFmtId="0" fontId="63" fillId="3" borderId="10" xfId="0" applyFont="1" applyFill="1" applyBorder="1" applyAlignment="1">
      <alignment horizontal="center"/>
    </xf>
    <xf numFmtId="17" fontId="18" fillId="3" borderId="10" xfId="0" applyNumberFormat="1" applyFont="1" applyFill="1" applyBorder="1" applyAlignment="1">
      <alignment horizontal="center"/>
    </xf>
    <xf numFmtId="1" fontId="18" fillId="3" borderId="13" xfId="0" applyNumberFormat="1" applyFont="1" applyFill="1" applyBorder="1" applyAlignment="1"/>
    <xf numFmtId="0" fontId="30" fillId="12" borderId="9" xfId="0" applyFont="1" applyFill="1" applyBorder="1" applyAlignment="1">
      <alignment horizontal="center" vertical="top" wrapText="1"/>
    </xf>
    <xf numFmtId="0" fontId="30" fillId="12" borderId="10" xfId="0" applyFont="1" applyFill="1" applyBorder="1" applyAlignment="1">
      <alignment horizontal="center" vertical="top" wrapText="1"/>
    </xf>
    <xf numFmtId="0" fontId="3" fillId="12" borderId="10" xfId="0" applyFont="1" applyFill="1" applyBorder="1" applyAlignment="1">
      <alignment horizontal="center" vertical="center" wrapText="1"/>
    </xf>
    <xf numFmtId="164" fontId="3" fillId="12" borderId="10" xfId="0" applyNumberFormat="1" applyFont="1" applyFill="1" applyBorder="1" applyAlignment="1">
      <alignment horizontal="center"/>
    </xf>
    <xf numFmtId="164" fontId="3" fillId="12" borderId="10" xfId="0" applyNumberFormat="1" applyFont="1" applyFill="1" applyBorder="1" applyAlignment="1">
      <alignment horizontal="center" vertical="top" wrapText="1"/>
    </xf>
    <xf numFmtId="166" fontId="3" fillId="12" borderId="9" xfId="0" applyNumberFormat="1" applyFont="1" applyFill="1" applyBorder="1" applyAlignment="1">
      <alignment horizontal="center" vertical="top" wrapText="1"/>
    </xf>
    <xf numFmtId="164" fontId="36" fillId="12" borderId="10" xfId="0" applyNumberFormat="1" applyFont="1" applyFill="1" applyBorder="1" applyAlignment="1">
      <alignment horizontal="center" vertical="top" wrapText="1"/>
    </xf>
    <xf numFmtId="1" fontId="3" fillId="12" borderId="10" xfId="0" applyNumberFormat="1" applyFont="1" applyFill="1" applyBorder="1" applyAlignment="1">
      <alignment horizontal="center"/>
    </xf>
    <xf numFmtId="14" fontId="3" fillId="12" borderId="10" xfId="0" applyNumberFormat="1" applyFont="1" applyFill="1" applyBorder="1" applyAlignment="1">
      <alignment horizontal="center"/>
    </xf>
    <xf numFmtId="14" fontId="44" fillId="12" borderId="10" xfId="0" applyNumberFormat="1" applyFont="1" applyFill="1" applyBorder="1" applyAlignment="1">
      <alignment horizontal="center"/>
    </xf>
    <xf numFmtId="0" fontId="55" fillId="12" borderId="10" xfId="0" applyFont="1" applyFill="1" applyBorder="1" applyAlignment="1">
      <alignment horizontal="center" vertical="top" wrapText="1"/>
    </xf>
    <xf numFmtId="0" fontId="5" fillId="12" borderId="10" xfId="0" applyFont="1" applyFill="1" applyBorder="1" applyAlignment="1">
      <alignment horizontal="center" vertical="center" wrapText="1"/>
    </xf>
    <xf numFmtId="164" fontId="5" fillId="12" borderId="10" xfId="0" applyNumberFormat="1" applyFont="1" applyFill="1" applyBorder="1" applyAlignment="1">
      <alignment horizontal="center"/>
    </xf>
    <xf numFmtId="164" fontId="5" fillId="12" borderId="10" xfId="0" applyNumberFormat="1" applyFont="1" applyFill="1" applyBorder="1" applyAlignment="1">
      <alignment horizontal="center" vertical="top" wrapText="1"/>
    </xf>
    <xf numFmtId="166" fontId="5" fillId="12" borderId="9" xfId="0" applyNumberFormat="1" applyFont="1" applyFill="1" applyBorder="1" applyAlignment="1">
      <alignment horizontal="center" vertical="top" wrapText="1"/>
    </xf>
    <xf numFmtId="165" fontId="47" fillId="12" borderId="60" xfId="0" applyNumberFormat="1" applyFont="1" applyFill="1" applyBorder="1" applyAlignment="1">
      <alignment horizontal="center"/>
    </xf>
    <xf numFmtId="165" fontId="75" fillId="12" borderId="60" xfId="0" applyNumberFormat="1" applyFont="1" applyFill="1" applyBorder="1" applyAlignment="1">
      <alignment horizontal="center"/>
    </xf>
    <xf numFmtId="1" fontId="5" fillId="12" borderId="10" xfId="0" applyNumberFormat="1" applyFont="1" applyFill="1" applyBorder="1" applyAlignment="1">
      <alignment horizontal="center"/>
    </xf>
    <xf numFmtId="14" fontId="5" fillId="12" borderId="10" xfId="0" applyNumberFormat="1" applyFont="1" applyFill="1" applyBorder="1" applyAlignment="1">
      <alignment horizontal="center"/>
    </xf>
    <xf numFmtId="0" fontId="51" fillId="13" borderId="21" xfId="0" applyFont="1" applyFill="1" applyBorder="1">
      <alignment vertical="top" wrapText="1"/>
    </xf>
    <xf numFmtId="0" fontId="55" fillId="12" borderId="9" xfId="0" applyFont="1" applyFill="1" applyBorder="1" applyAlignment="1">
      <alignment horizontal="center" vertical="top" wrapText="1"/>
    </xf>
  </cellXfs>
  <cellStyles count="52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1" builtinId="9" hidden="1"/>
    <cellStyle name="Millares" xfId="2" builtinId="3"/>
    <cellStyle name="Moneda" xfId="1" builtinId="4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7F7F7F"/>
      <rgbColor rgb="FF4B0082"/>
      <rgbColor rgb="FFF2F2F2"/>
      <rgbColor rgb="FF0070C0"/>
      <rgbColor rgb="FF0131B4"/>
      <rgbColor rgb="FFFFFFFF"/>
      <rgbColor rgb="FF0047A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0D5C8"/>
      <color rgb="FF50C878"/>
      <color rgb="FF00A86B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A86B"/>
  </sheetPr>
  <dimension ref="A1:IZ25"/>
  <sheetViews>
    <sheetView showGridLines="0" topLeftCell="A4" zoomScale="150" zoomScaleNormal="150" zoomScalePageLayoutView="150" workbookViewId="0">
      <selection activeCell="P22" sqref="P22"/>
    </sheetView>
  </sheetViews>
  <sheetFormatPr baseColWidth="10" defaultColWidth="6.84375" defaultRowHeight="15" customHeight="1"/>
  <cols>
    <col min="1" max="1" width="7.15234375" style="7" customWidth="1"/>
    <col min="2" max="2" width="6.23046875" style="7" customWidth="1"/>
    <col min="3" max="3" width="6.3828125" style="7" customWidth="1"/>
    <col min="4" max="5" width="6.84375" style="7" hidden="1" customWidth="1"/>
    <col min="6" max="6" width="6.3828125" style="7" customWidth="1"/>
    <col min="7" max="7" width="6.84375" style="7" hidden="1" customWidth="1"/>
    <col min="8" max="8" width="7.15234375" style="7" customWidth="1"/>
    <col min="9" max="9" width="5.765625" style="7" customWidth="1"/>
    <col min="10" max="10" width="6.15234375" style="7" customWidth="1"/>
    <col min="11" max="11" width="6.23046875" style="7" customWidth="1"/>
    <col min="12" max="12" width="10.84375" style="7" customWidth="1"/>
    <col min="13" max="13" width="12.61328125" style="7" customWidth="1"/>
    <col min="14" max="14" width="1.765625" style="7" hidden="1" customWidth="1"/>
    <col min="15" max="15" width="6" style="21" customWidth="1"/>
    <col min="16" max="16" width="8.61328125" style="21" customWidth="1"/>
    <col min="17" max="17" width="16" style="21" customWidth="1"/>
    <col min="18" max="18" width="4.3828125" style="21" customWidth="1"/>
    <col min="19" max="19" width="7.84375" style="73" customWidth="1"/>
    <col min="20" max="20" width="4.23046875" style="73" customWidth="1"/>
    <col min="21" max="21" width="7.15234375" style="21" customWidth="1"/>
    <col min="22" max="22" width="9.15234375" style="7" hidden="1" customWidth="1"/>
    <col min="23" max="23" width="11" style="7" hidden="1" customWidth="1"/>
    <col min="24" max="24" width="6.84375" style="7" hidden="1" customWidth="1"/>
    <col min="25" max="25" width="10.84375" style="7" hidden="1" customWidth="1"/>
    <col min="26" max="260" width="6.84375" style="7" customWidth="1"/>
  </cols>
  <sheetData>
    <row r="1" spans="1:260" ht="33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54">
        <v>12</v>
      </c>
      <c r="K1" s="9"/>
      <c r="L1" s="9"/>
      <c r="M1" s="9"/>
      <c r="N1" s="9"/>
      <c r="O1" s="9"/>
      <c r="P1" s="9"/>
      <c r="Q1" s="9"/>
      <c r="R1" s="9"/>
      <c r="S1" s="65"/>
      <c r="T1" s="65"/>
      <c r="U1" s="9"/>
      <c r="V1" s="10"/>
      <c r="W1" s="1"/>
      <c r="X1" s="1"/>
      <c r="Y1" s="1"/>
    </row>
    <row r="2" spans="1:260" ht="33" customHeight="1">
      <c r="A2" s="11" t="s">
        <v>88</v>
      </c>
      <c r="B2" s="12"/>
      <c r="C2" s="12"/>
      <c r="D2" s="12"/>
      <c r="E2" s="12"/>
      <c r="F2" s="12"/>
      <c r="G2" s="12"/>
      <c r="H2" s="12"/>
      <c r="I2" s="12"/>
      <c r="J2" s="732"/>
      <c r="K2" s="732"/>
      <c r="L2" s="12"/>
      <c r="M2" s="733" t="s">
        <v>233</v>
      </c>
      <c r="N2" s="733"/>
      <c r="O2" s="54">
        <v>18</v>
      </c>
      <c r="P2" s="12"/>
      <c r="Q2" s="12"/>
      <c r="R2" s="12"/>
      <c r="S2" s="66"/>
      <c r="T2" s="66"/>
      <c r="U2" s="12"/>
      <c r="V2" s="173" t="s">
        <v>156</v>
      </c>
      <c r="W2" s="13"/>
      <c r="X2" s="1"/>
      <c r="Y2" s="1"/>
    </row>
    <row r="3" spans="1:260" ht="45.75" customHeight="1" thickBot="1">
      <c r="A3" s="2" t="s">
        <v>1</v>
      </c>
      <c r="B3" s="2" t="s">
        <v>2</v>
      </c>
      <c r="C3" s="2" t="s">
        <v>3</v>
      </c>
      <c r="D3" s="18" t="s">
        <v>62</v>
      </c>
      <c r="E3" s="18" t="s">
        <v>63</v>
      </c>
      <c r="F3" s="2" t="s">
        <v>6</v>
      </c>
      <c r="G3" s="18" t="s">
        <v>7</v>
      </c>
      <c r="H3" s="2" t="s">
        <v>8</v>
      </c>
      <c r="I3" s="2" t="s">
        <v>9</v>
      </c>
      <c r="J3" s="2" t="s">
        <v>101</v>
      </c>
      <c r="K3" s="2" t="s">
        <v>10</v>
      </c>
      <c r="L3" s="2" t="s">
        <v>11</v>
      </c>
      <c r="M3" s="2" t="s">
        <v>12</v>
      </c>
      <c r="N3" s="18" t="s">
        <v>92</v>
      </c>
      <c r="O3" s="20" t="s">
        <v>13</v>
      </c>
      <c r="P3" s="20" t="s">
        <v>102</v>
      </c>
      <c r="Q3" s="20" t="s">
        <v>95</v>
      </c>
      <c r="R3" s="20" t="s">
        <v>103</v>
      </c>
      <c r="S3" s="67" t="s">
        <v>97</v>
      </c>
      <c r="T3" s="67" t="s">
        <v>98</v>
      </c>
      <c r="U3" s="22"/>
      <c r="V3" s="170" t="s">
        <v>104</v>
      </c>
      <c r="W3" s="120"/>
      <c r="X3" s="171"/>
      <c r="Y3" s="172"/>
    </row>
    <row r="4" spans="1:260" s="30" customFormat="1" ht="16.5" customHeight="1" thickBot="1">
      <c r="A4" s="58" t="s">
        <v>89</v>
      </c>
      <c r="B4" s="58" t="s">
        <v>64</v>
      </c>
      <c r="C4" s="36" t="s">
        <v>65</v>
      </c>
      <c r="D4" s="37">
        <v>115</v>
      </c>
      <c r="E4" s="37">
        <v>3.5</v>
      </c>
      <c r="F4" s="37">
        <f t="shared" ref="F4:F23" si="0">D4+E4</f>
        <v>118.5</v>
      </c>
      <c r="G4" s="32">
        <v>0</v>
      </c>
      <c r="H4" s="32">
        <v>63.7</v>
      </c>
      <c r="I4" s="32">
        <v>0</v>
      </c>
      <c r="J4" s="49">
        <v>372</v>
      </c>
      <c r="K4" s="32">
        <v>3.4</v>
      </c>
      <c r="L4" s="32">
        <f t="shared" ref="L4:L23" si="1">D4+E4+G4+H4+I4+K4</f>
        <v>185.6</v>
      </c>
      <c r="M4" s="33">
        <f>SUM((D4*$W$5)+(E4*$W$9)+(G4*$W$5)+(H4*$W$8)+(I4*$W$7)+(K4*$W$6))+($O4*$W$10-$W$10)</f>
        <v>5478819.3729999997</v>
      </c>
      <c r="N4" s="33"/>
      <c r="O4" s="40">
        <v>2</v>
      </c>
      <c r="P4" s="40" t="s">
        <v>228</v>
      </c>
      <c r="Q4" s="40" t="s">
        <v>109</v>
      </c>
      <c r="R4" s="40">
        <v>1</v>
      </c>
      <c r="S4" s="68">
        <v>42186</v>
      </c>
      <c r="T4" s="68" t="s">
        <v>124</v>
      </c>
      <c r="U4" s="40" t="s">
        <v>125</v>
      </c>
      <c r="V4" s="95">
        <f>M4/F4</f>
        <v>46234.762641350208</v>
      </c>
      <c r="W4" s="96"/>
      <c r="X4" s="28"/>
      <c r="Y4" s="29">
        <f>+M4*0.94</f>
        <v>5150090.2106199991</v>
      </c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</row>
    <row r="5" spans="1:260" s="30" customFormat="1" ht="16.5" customHeight="1" thickBot="1">
      <c r="A5" s="59" t="s">
        <v>89</v>
      </c>
      <c r="B5" s="59" t="s">
        <v>66</v>
      </c>
      <c r="C5" s="42" t="s">
        <v>67</v>
      </c>
      <c r="D5" s="187">
        <v>99</v>
      </c>
      <c r="E5" s="38">
        <v>6</v>
      </c>
      <c r="F5" s="38">
        <f t="shared" si="0"/>
        <v>105</v>
      </c>
      <c r="G5" s="31">
        <v>0</v>
      </c>
      <c r="H5" s="31">
        <v>53.7</v>
      </c>
      <c r="I5" s="31">
        <v>0</v>
      </c>
      <c r="J5" s="50"/>
      <c r="K5" s="31">
        <v>0</v>
      </c>
      <c r="L5" s="31">
        <f t="shared" si="1"/>
        <v>158.69999999999999</v>
      </c>
      <c r="M5" s="43">
        <f>SUM((D5*$W$5)+(E5*$W$9)+(G5*$W$5)+(H5*$W$8)+(I5*$W$7)+(K5*$W$6))+($O5*$W$10-$W$10)</f>
        <v>4772929.2839999991</v>
      </c>
      <c r="N5" s="43"/>
      <c r="O5" s="44">
        <v>2</v>
      </c>
      <c r="P5" s="44" t="s">
        <v>228</v>
      </c>
      <c r="Q5" s="44" t="s">
        <v>142</v>
      </c>
      <c r="R5" s="44">
        <v>1</v>
      </c>
      <c r="S5" s="69">
        <v>42005</v>
      </c>
      <c r="T5" s="69" t="s">
        <v>107</v>
      </c>
      <c r="U5" s="44" t="s">
        <v>143</v>
      </c>
      <c r="V5" s="95">
        <f t="shared" ref="V5:V23" si="2">M5/F5</f>
        <v>45456.46937142856</v>
      </c>
      <c r="W5" s="120">
        <v>31702.42</v>
      </c>
      <c r="X5" s="97" t="s">
        <v>18</v>
      </c>
      <c r="Y5" s="29">
        <f t="shared" ref="Y5:Y25" si="3">+M5*0.94</f>
        <v>4486553.5269599985</v>
      </c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  <c r="IW5" s="26"/>
      <c r="IX5" s="26"/>
      <c r="IY5" s="26"/>
      <c r="IZ5" s="26"/>
    </row>
    <row r="6" spans="1:260" s="30" customFormat="1" ht="16.5" customHeight="1" thickBot="1">
      <c r="A6" s="59" t="s">
        <v>89</v>
      </c>
      <c r="B6" s="59" t="s">
        <v>68</v>
      </c>
      <c r="C6" s="300" t="s">
        <v>69</v>
      </c>
      <c r="D6" s="301">
        <v>114</v>
      </c>
      <c r="E6" s="302">
        <v>3.5</v>
      </c>
      <c r="F6" s="38">
        <f t="shared" si="0"/>
        <v>117.5</v>
      </c>
      <c r="G6" s="31">
        <v>0</v>
      </c>
      <c r="H6" s="31">
        <v>72.5</v>
      </c>
      <c r="I6" s="31">
        <v>0</v>
      </c>
      <c r="J6" s="50">
        <v>377</v>
      </c>
      <c r="K6" s="31">
        <v>4</v>
      </c>
      <c r="L6" s="31">
        <f t="shared" si="1"/>
        <v>194</v>
      </c>
      <c r="M6" s="43">
        <f>SUM((D6*$W$5)+(E6*$W$9)+(G6*$W$5)+(H6*$W$8)+(I6*$W$7)+(K6*$W$6))+($O6*$W$10-$W$10)</f>
        <v>5654813.2649999987</v>
      </c>
      <c r="N6" s="43"/>
      <c r="O6" s="44">
        <v>2</v>
      </c>
      <c r="P6" s="44" t="s">
        <v>228</v>
      </c>
      <c r="Q6" s="44" t="s">
        <v>207</v>
      </c>
      <c r="R6" s="44">
        <v>8</v>
      </c>
      <c r="S6" s="69">
        <v>42774</v>
      </c>
      <c r="T6" s="69" t="s">
        <v>141</v>
      </c>
      <c r="U6" s="44"/>
      <c r="V6" s="95">
        <f t="shared" si="2"/>
        <v>48126.070340425518</v>
      </c>
      <c r="W6" s="120">
        <v>15833.16</v>
      </c>
      <c r="X6" s="97" t="s">
        <v>10</v>
      </c>
      <c r="Y6" s="29">
        <f t="shared" si="3"/>
        <v>5315524.4690999985</v>
      </c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  <c r="IX6" s="26"/>
      <c r="IY6" s="26"/>
      <c r="IZ6" s="26"/>
    </row>
    <row r="7" spans="1:260" s="30" customFormat="1" ht="16.5" customHeight="1" thickBot="1">
      <c r="A7" s="61" t="s">
        <v>89</v>
      </c>
      <c r="B7" s="61" t="s">
        <v>64</v>
      </c>
      <c r="C7" s="45" t="s">
        <v>70</v>
      </c>
      <c r="D7" s="62">
        <v>115</v>
      </c>
      <c r="E7" s="46">
        <v>3.5</v>
      </c>
      <c r="F7" s="46">
        <f t="shared" si="0"/>
        <v>118.5</v>
      </c>
      <c r="G7" s="47">
        <v>0</v>
      </c>
      <c r="H7" s="47">
        <v>43.7</v>
      </c>
      <c r="I7" s="47">
        <v>0</v>
      </c>
      <c r="J7" s="51">
        <v>371</v>
      </c>
      <c r="K7" s="47">
        <v>3.2</v>
      </c>
      <c r="L7" s="47">
        <f t="shared" si="1"/>
        <v>165.39999999999998</v>
      </c>
      <c r="M7" s="39">
        <f>SUM((D7*$W$5)+(E7*$W$9)+(G7*$W$5)+(H7*$W$8)+(I7*$W$7)+(K7*$W$6))+($O7*$W$10-$W$10)</f>
        <v>5025206.3409999991</v>
      </c>
      <c r="N7" s="39"/>
      <c r="O7" s="63">
        <v>2</v>
      </c>
      <c r="P7" s="63" t="s">
        <v>228</v>
      </c>
      <c r="Q7" s="63" t="s">
        <v>227</v>
      </c>
      <c r="R7" s="63"/>
      <c r="S7" s="70">
        <v>42802</v>
      </c>
      <c r="T7" s="70" t="s">
        <v>152</v>
      </c>
      <c r="U7" s="63" t="s">
        <v>123</v>
      </c>
      <c r="V7" s="95">
        <f t="shared" si="2"/>
        <v>42406.804565400838</v>
      </c>
      <c r="W7" s="120">
        <v>11262.23</v>
      </c>
      <c r="X7" s="97" t="s">
        <v>9</v>
      </c>
      <c r="Y7" s="29">
        <f t="shared" si="3"/>
        <v>4723693.9605399985</v>
      </c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  <c r="IW7" s="26"/>
      <c r="IX7" s="26"/>
      <c r="IY7" s="26"/>
      <c r="IZ7" s="26"/>
    </row>
    <row r="8" spans="1:260" s="30" customFormat="1" ht="16.5" customHeight="1" thickBot="1">
      <c r="A8" s="58" t="s">
        <v>89</v>
      </c>
      <c r="B8" s="58" t="s">
        <v>64</v>
      </c>
      <c r="C8" s="36" t="s">
        <v>71</v>
      </c>
      <c r="D8" s="37">
        <v>115</v>
      </c>
      <c r="E8" s="37">
        <v>3.5</v>
      </c>
      <c r="F8" s="37">
        <f t="shared" si="0"/>
        <v>118.5</v>
      </c>
      <c r="G8" s="32">
        <v>0</v>
      </c>
      <c r="H8" s="32">
        <v>0</v>
      </c>
      <c r="I8" s="32">
        <v>0</v>
      </c>
      <c r="J8" s="49">
        <v>358</v>
      </c>
      <c r="K8" s="32">
        <v>8.1</v>
      </c>
      <c r="L8" s="32">
        <f t="shared" si="1"/>
        <v>126.6</v>
      </c>
      <c r="M8" s="33">
        <f>SUM(D8*($W$5*$W$11))+(E8*$W$9)+(G8*($W$5*$W$11))+(H8*$W$8)+(I8*$W$7)+(K8*$W$6)+($O8*$W$10-$W$10)</f>
        <v>4155021.2239999995</v>
      </c>
      <c r="N8" s="33"/>
      <c r="O8" s="40">
        <v>2</v>
      </c>
      <c r="P8" s="40" t="s">
        <v>228</v>
      </c>
      <c r="Q8" s="40" t="s">
        <v>110</v>
      </c>
      <c r="R8" s="40">
        <v>1</v>
      </c>
      <c r="S8" s="68">
        <v>42156</v>
      </c>
      <c r="T8" s="68" t="s">
        <v>107</v>
      </c>
      <c r="U8" s="40" t="s">
        <v>122</v>
      </c>
      <c r="V8" s="95">
        <f t="shared" si="2"/>
        <v>35063.470244725737</v>
      </c>
      <c r="W8" s="120">
        <v>22522.32</v>
      </c>
      <c r="X8" s="97" t="s">
        <v>23</v>
      </c>
      <c r="Y8" s="29">
        <f t="shared" si="3"/>
        <v>3905719.9505599993</v>
      </c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  <c r="IW8" s="26"/>
      <c r="IX8" s="26"/>
      <c r="IY8" s="26"/>
      <c r="IZ8" s="26"/>
    </row>
    <row r="9" spans="1:260" s="30" customFormat="1" ht="16.5" customHeight="1" thickBot="1">
      <c r="A9" s="59" t="s">
        <v>89</v>
      </c>
      <c r="B9" s="59" t="s">
        <v>68</v>
      </c>
      <c r="C9" s="42" t="s">
        <v>72</v>
      </c>
      <c r="D9" s="38">
        <v>114</v>
      </c>
      <c r="E9" s="38">
        <v>3.5</v>
      </c>
      <c r="F9" s="38">
        <f t="shared" si="0"/>
        <v>117.5</v>
      </c>
      <c r="G9" s="31">
        <v>0</v>
      </c>
      <c r="H9" s="31">
        <v>0</v>
      </c>
      <c r="I9" s="31">
        <v>0</v>
      </c>
      <c r="J9" s="50">
        <v>357</v>
      </c>
      <c r="K9" s="31">
        <v>8.1999999999999993</v>
      </c>
      <c r="L9" s="31">
        <f t="shared" si="1"/>
        <v>125.7</v>
      </c>
      <c r="M9" s="43">
        <f>SUM(D9*($W$5*$W$11))+(E9*$W$9)+(G9*($W$5*$W$11))+(H9*$W$8)+(I9*$W$7)+(K9*$W$6)+($O9*$W$10-$W$10)</f>
        <v>4124585.0957999998</v>
      </c>
      <c r="N9" s="43"/>
      <c r="O9" s="44">
        <v>2</v>
      </c>
      <c r="P9" s="44" t="s">
        <v>228</v>
      </c>
      <c r="Q9" s="44" t="s">
        <v>126</v>
      </c>
      <c r="R9" s="44">
        <v>2</v>
      </c>
      <c r="S9" s="69">
        <v>42248</v>
      </c>
      <c r="T9" s="69" t="s">
        <v>107</v>
      </c>
      <c r="U9" s="44" t="s">
        <v>119</v>
      </c>
      <c r="V9" s="95">
        <f t="shared" si="2"/>
        <v>35102.851879148933</v>
      </c>
      <c r="W9" s="120">
        <v>32161.83</v>
      </c>
      <c r="X9" s="97" t="s">
        <v>73</v>
      </c>
      <c r="Y9" s="29">
        <f t="shared" si="3"/>
        <v>3877109.9900519997</v>
      </c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  <c r="IZ9" s="26"/>
    </row>
    <row r="10" spans="1:260" s="30" customFormat="1" ht="16.5" customHeight="1" thickBot="1">
      <c r="A10" s="59" t="s">
        <v>89</v>
      </c>
      <c r="B10" s="59" t="s">
        <v>68</v>
      </c>
      <c r="C10" s="42" t="s">
        <v>74</v>
      </c>
      <c r="D10" s="38">
        <v>114</v>
      </c>
      <c r="E10" s="38">
        <v>3.5</v>
      </c>
      <c r="F10" s="38">
        <f t="shared" si="0"/>
        <v>117.5</v>
      </c>
      <c r="G10" s="31">
        <v>0</v>
      </c>
      <c r="H10" s="31">
        <v>0</v>
      </c>
      <c r="I10" s="31">
        <v>0</v>
      </c>
      <c r="J10" s="50">
        <v>363</v>
      </c>
      <c r="K10" s="31">
        <v>3.5</v>
      </c>
      <c r="L10" s="31">
        <f t="shared" si="1"/>
        <v>121</v>
      </c>
      <c r="M10" s="43">
        <f>SUM(D10*($W$5*$W$11))+(E10*$W$9)+(G10*($W$5*$W$11))+(H10*$W$8)+(I10*$W$7)+(K10*$W$6)+($O10*$W$10-$W$10)</f>
        <v>4050169.2437999998</v>
      </c>
      <c r="N10" s="43"/>
      <c r="O10" s="44">
        <v>2</v>
      </c>
      <c r="P10" s="44" t="s">
        <v>228</v>
      </c>
      <c r="Q10" s="44" t="s">
        <v>174</v>
      </c>
      <c r="R10" s="44">
        <v>1</v>
      </c>
      <c r="S10" s="69">
        <v>42156</v>
      </c>
      <c r="T10" s="69" t="s">
        <v>113</v>
      </c>
      <c r="U10" s="44" t="s">
        <v>115</v>
      </c>
      <c r="V10" s="95">
        <f t="shared" si="2"/>
        <v>34469.525479148935</v>
      </c>
      <c r="W10" s="120">
        <v>231970.14</v>
      </c>
      <c r="X10" s="97" t="s">
        <v>27</v>
      </c>
      <c r="Y10" s="29">
        <f t="shared" si="3"/>
        <v>3807159.0891719996</v>
      </c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26"/>
    </row>
    <row r="11" spans="1:260" s="30" customFormat="1" ht="16.5" customHeight="1" thickBot="1">
      <c r="A11" s="59" t="s">
        <v>89</v>
      </c>
      <c r="B11" s="59" t="s">
        <v>64</v>
      </c>
      <c r="C11" s="154" t="s">
        <v>75</v>
      </c>
      <c r="D11" s="155">
        <v>115</v>
      </c>
      <c r="E11" s="155">
        <v>3.5</v>
      </c>
      <c r="F11" s="155">
        <f t="shared" si="0"/>
        <v>118.5</v>
      </c>
      <c r="G11" s="156">
        <v>0</v>
      </c>
      <c r="H11" s="156">
        <v>0</v>
      </c>
      <c r="I11" s="156">
        <v>0</v>
      </c>
      <c r="J11" s="157">
        <v>364</v>
      </c>
      <c r="K11" s="156">
        <v>3.3</v>
      </c>
      <c r="L11" s="156">
        <f t="shared" si="1"/>
        <v>121.8</v>
      </c>
      <c r="M11" s="158">
        <f>SUM(D11*($W$5*$W$11))+(E11*$W$9)+(G11*($W$5*$W$11))+(H11*$W$8)+(I11*$W$7)+(K11*$W$6)+($O11*$W$10-$W$10)</f>
        <v>4079022.0559999994</v>
      </c>
      <c r="N11" s="158"/>
      <c r="O11" s="159">
        <v>2</v>
      </c>
      <c r="P11" s="159" t="s">
        <v>228</v>
      </c>
      <c r="Q11" s="159" t="s">
        <v>127</v>
      </c>
      <c r="R11" s="159">
        <v>2</v>
      </c>
      <c r="S11" s="160">
        <v>42248</v>
      </c>
      <c r="T11" s="160" t="s">
        <v>124</v>
      </c>
      <c r="U11" s="159" t="s">
        <v>121</v>
      </c>
      <c r="V11" s="95">
        <f t="shared" si="2"/>
        <v>34422.127054852317</v>
      </c>
      <c r="W11" s="98">
        <v>1.01</v>
      </c>
      <c r="X11" s="99" t="s">
        <v>106</v>
      </c>
      <c r="Y11" s="29">
        <f t="shared" si="3"/>
        <v>3834280.7326399991</v>
      </c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  <c r="IW11" s="26"/>
      <c r="IX11" s="26"/>
      <c r="IY11" s="26"/>
      <c r="IZ11" s="26"/>
    </row>
    <row r="12" spans="1:260" s="30" customFormat="1" ht="16.5" customHeight="1" thickBot="1">
      <c r="A12" s="59" t="s">
        <v>89</v>
      </c>
      <c r="B12" s="59" t="s">
        <v>64</v>
      </c>
      <c r="C12" s="162" t="s">
        <v>76</v>
      </c>
      <c r="D12" s="163">
        <v>115</v>
      </c>
      <c r="E12" s="163">
        <v>3.5</v>
      </c>
      <c r="F12" s="163">
        <f t="shared" si="0"/>
        <v>118.5</v>
      </c>
      <c r="G12" s="164">
        <v>0</v>
      </c>
      <c r="H12" s="164">
        <v>0</v>
      </c>
      <c r="I12" s="164">
        <v>0</v>
      </c>
      <c r="J12" s="165">
        <v>361</v>
      </c>
      <c r="K12" s="164">
        <v>2.5</v>
      </c>
      <c r="L12" s="164">
        <f t="shared" si="1"/>
        <v>121</v>
      </c>
      <c r="M12" s="166">
        <f>SUM(D12*($W$5*$W$12))+(E12*$W$9)+(G12*($W$5*$W$12))+(H12*$W$8)+(I12*$W$7)+(K12*$W$6)+($O12*$W$10-$W$10)</f>
        <v>4121042.2024999992</v>
      </c>
      <c r="N12" s="166"/>
      <c r="O12" s="167">
        <v>2</v>
      </c>
      <c r="P12" s="167" t="s">
        <v>228</v>
      </c>
      <c r="Q12" s="167" t="s">
        <v>128</v>
      </c>
      <c r="R12" s="167">
        <v>2</v>
      </c>
      <c r="S12" s="168">
        <v>42267</v>
      </c>
      <c r="T12" s="168" t="s">
        <v>124</v>
      </c>
      <c r="U12" s="167" t="s">
        <v>121</v>
      </c>
      <c r="V12" s="95">
        <f t="shared" si="2"/>
        <v>34776.727447257377</v>
      </c>
      <c r="W12" s="98">
        <v>1.0249999999999999</v>
      </c>
      <c r="X12" s="99" t="s">
        <v>31</v>
      </c>
      <c r="Y12" s="29">
        <f t="shared" si="3"/>
        <v>3873779.6703499989</v>
      </c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  <c r="IW12" s="26"/>
      <c r="IX12" s="26"/>
      <c r="IY12" s="26"/>
      <c r="IZ12" s="26"/>
    </row>
    <row r="13" spans="1:260" s="30" customFormat="1" ht="16.5" customHeight="1" thickBot="1">
      <c r="A13" s="59" t="s">
        <v>89</v>
      </c>
      <c r="B13" s="59" t="s">
        <v>68</v>
      </c>
      <c r="C13" s="42" t="s">
        <v>77</v>
      </c>
      <c r="D13" s="38">
        <v>114</v>
      </c>
      <c r="E13" s="38">
        <v>3.5</v>
      </c>
      <c r="F13" s="38">
        <f t="shared" si="0"/>
        <v>117.5</v>
      </c>
      <c r="G13" s="31">
        <v>0</v>
      </c>
      <c r="H13" s="31">
        <v>0</v>
      </c>
      <c r="I13" s="31">
        <v>0</v>
      </c>
      <c r="J13" s="50">
        <v>360</v>
      </c>
      <c r="K13" s="31">
        <v>3.8</v>
      </c>
      <c r="L13" s="31">
        <f t="shared" si="1"/>
        <v>121.3</v>
      </c>
      <c r="M13" s="43">
        <f>SUM(D13*($W$5*$W$12))+(E13*$W$9)+(G13*($W$5*$W$12))+(H13*$W$8)+(I13*$W$7)+(K13*$W$6)+($O13*$W$10-$W$10)</f>
        <v>4109130.3299999991</v>
      </c>
      <c r="N13" s="43"/>
      <c r="O13" s="44">
        <v>2</v>
      </c>
      <c r="P13" s="44" t="s">
        <v>228</v>
      </c>
      <c r="Q13" s="44" t="s">
        <v>111</v>
      </c>
      <c r="R13" s="44">
        <v>1</v>
      </c>
      <c r="S13" s="69">
        <v>42156</v>
      </c>
      <c r="T13" s="69" t="s">
        <v>114</v>
      </c>
      <c r="U13" s="44" t="s">
        <v>129</v>
      </c>
      <c r="V13" s="95">
        <f t="shared" si="2"/>
        <v>34971.321957446802</v>
      </c>
      <c r="W13" s="98">
        <v>1.04</v>
      </c>
      <c r="X13" s="99" t="s">
        <v>105</v>
      </c>
      <c r="Y13" s="29">
        <f t="shared" si="3"/>
        <v>3862582.510199999</v>
      </c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  <c r="IW13" s="26"/>
      <c r="IX13" s="26"/>
      <c r="IY13" s="26"/>
      <c r="IZ13" s="26"/>
    </row>
    <row r="14" spans="1:260" s="30" customFormat="1" ht="16.5" customHeight="1" thickBot="1">
      <c r="A14" s="59" t="s">
        <v>89</v>
      </c>
      <c r="B14" s="59" t="s">
        <v>68</v>
      </c>
      <c r="C14" s="42" t="s">
        <v>78</v>
      </c>
      <c r="D14" s="38">
        <v>114</v>
      </c>
      <c r="E14" s="38">
        <v>3.5</v>
      </c>
      <c r="F14" s="38">
        <f t="shared" si="0"/>
        <v>117.5</v>
      </c>
      <c r="G14" s="31">
        <v>0</v>
      </c>
      <c r="H14" s="31">
        <v>0</v>
      </c>
      <c r="I14" s="31">
        <v>0</v>
      </c>
      <c r="J14" s="50">
        <v>366</v>
      </c>
      <c r="K14" s="31">
        <v>4.2</v>
      </c>
      <c r="L14" s="31">
        <f t="shared" si="1"/>
        <v>121.7</v>
      </c>
      <c r="M14" s="43">
        <f>SUM(D14*($W$5*$W$12))+(E14*$W$9)+(G14*($W$5*$W$12))+(H14*$W$8)+(I14*$W$7)+(K14*$W$6)+($O14*$W$10-$W$10)</f>
        <v>4115463.5939999991</v>
      </c>
      <c r="N14" s="43"/>
      <c r="O14" s="44">
        <v>2</v>
      </c>
      <c r="P14" s="44" t="s">
        <v>228</v>
      </c>
      <c r="Q14" s="44" t="s">
        <v>130</v>
      </c>
      <c r="R14" s="44">
        <v>2</v>
      </c>
      <c r="S14" s="69">
        <v>42217</v>
      </c>
      <c r="T14" s="69" t="s">
        <v>113</v>
      </c>
      <c r="U14" s="44" t="s">
        <v>115</v>
      </c>
      <c r="V14" s="95">
        <f t="shared" si="2"/>
        <v>35025.222076595739</v>
      </c>
      <c r="W14" s="98">
        <v>1.1399999999999999</v>
      </c>
      <c r="X14" s="97" t="s">
        <v>33</v>
      </c>
      <c r="Y14" s="29">
        <f t="shared" si="3"/>
        <v>3868535.7783599989</v>
      </c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  <c r="IW14" s="26"/>
      <c r="IX14" s="26"/>
      <c r="IY14" s="26"/>
      <c r="IZ14" s="26"/>
    </row>
    <row r="15" spans="1:260" s="30" customFormat="1" ht="16.5" customHeight="1" thickBot="1">
      <c r="A15" s="61" t="s">
        <v>89</v>
      </c>
      <c r="B15" s="61" t="s">
        <v>64</v>
      </c>
      <c r="C15" s="45" t="s">
        <v>79</v>
      </c>
      <c r="D15" s="46">
        <v>115</v>
      </c>
      <c r="E15" s="46">
        <v>3.5</v>
      </c>
      <c r="F15" s="46">
        <f t="shared" si="0"/>
        <v>118.5</v>
      </c>
      <c r="G15" s="47">
        <v>0</v>
      </c>
      <c r="H15" s="47">
        <v>0</v>
      </c>
      <c r="I15" s="47">
        <v>0</v>
      </c>
      <c r="J15" s="51">
        <v>365</v>
      </c>
      <c r="K15" s="47">
        <v>3.3</v>
      </c>
      <c r="L15" s="47">
        <f t="shared" si="1"/>
        <v>121.8</v>
      </c>
      <c r="M15" s="39">
        <f>SUM(D15*($W$5*$W$12))+(E15*$W$9)+(G15*($W$5*$W$12))+(H15*$W$8)+(I15*$W$7)+(K15*$W$6)+($O15*$W$10-$W$10)</f>
        <v>4133708.7304999991</v>
      </c>
      <c r="N15" s="39"/>
      <c r="O15" s="63">
        <v>2</v>
      </c>
      <c r="P15" s="63" t="s">
        <v>228</v>
      </c>
      <c r="Q15" s="63" t="s">
        <v>131</v>
      </c>
      <c r="R15" s="63">
        <v>2</v>
      </c>
      <c r="S15" s="70">
        <v>42248</v>
      </c>
      <c r="T15" s="70" t="s">
        <v>117</v>
      </c>
      <c r="U15" s="63" t="s">
        <v>119</v>
      </c>
      <c r="V15" s="95">
        <f t="shared" si="2"/>
        <v>34883.617978902948</v>
      </c>
      <c r="W15" s="98">
        <v>1.1499999999999999</v>
      </c>
      <c r="X15" s="28"/>
      <c r="Y15" s="29">
        <f t="shared" si="3"/>
        <v>3885686.2066699988</v>
      </c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  <c r="IW15" s="26"/>
      <c r="IX15" s="26"/>
      <c r="IY15" s="26"/>
      <c r="IZ15" s="26"/>
    </row>
    <row r="16" spans="1:260" s="30" customFormat="1" ht="16.5" customHeight="1" thickBot="1">
      <c r="A16" s="58" t="s">
        <v>89</v>
      </c>
      <c r="B16" s="58" t="s">
        <v>64</v>
      </c>
      <c r="C16" s="36" t="s">
        <v>80</v>
      </c>
      <c r="D16" s="37">
        <v>115</v>
      </c>
      <c r="E16" s="37">
        <v>3.5</v>
      </c>
      <c r="F16" s="37">
        <f t="shared" si="0"/>
        <v>118.5</v>
      </c>
      <c r="G16" s="32">
        <v>0</v>
      </c>
      <c r="H16" s="32">
        <v>0</v>
      </c>
      <c r="I16" s="32">
        <v>0</v>
      </c>
      <c r="J16" s="49">
        <v>369</v>
      </c>
      <c r="K16" s="32">
        <v>3.9</v>
      </c>
      <c r="L16" s="32">
        <f t="shared" si="1"/>
        <v>122.4</v>
      </c>
      <c r="M16" s="33">
        <f>SUM(D16*($W$5*$W$13))+(E16*$W$9)+(G16*($W$5*$W$13))+(H16*$W$8)+(I16*$W$7)+(K16*$W$6)+($O16*$W$10-$W$10)</f>
        <v>4197895.300999999</v>
      </c>
      <c r="N16" s="33"/>
      <c r="O16" s="40">
        <v>2</v>
      </c>
      <c r="P16" s="40" t="s">
        <v>228</v>
      </c>
      <c r="Q16" s="40" t="s">
        <v>154</v>
      </c>
      <c r="R16" s="40">
        <v>4</v>
      </c>
      <c r="S16" s="68">
        <v>42522</v>
      </c>
      <c r="T16" s="68" t="s">
        <v>124</v>
      </c>
      <c r="U16" s="40" t="s">
        <v>132</v>
      </c>
      <c r="V16" s="95">
        <f t="shared" si="2"/>
        <v>35425.276801687753</v>
      </c>
      <c r="W16" s="96"/>
      <c r="X16" s="28"/>
      <c r="Y16" s="29">
        <f t="shared" si="3"/>
        <v>3946021.5829399987</v>
      </c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  <c r="IW16" s="26"/>
      <c r="IX16" s="26"/>
      <c r="IY16" s="26"/>
      <c r="IZ16" s="26"/>
    </row>
    <row r="17" spans="1:260" s="30" customFormat="1" ht="16.5" customHeight="1" thickBot="1">
      <c r="A17" s="59" t="s">
        <v>89</v>
      </c>
      <c r="B17" s="59" t="s">
        <v>68</v>
      </c>
      <c r="C17" s="42" t="s">
        <v>81</v>
      </c>
      <c r="D17" s="38">
        <v>114</v>
      </c>
      <c r="E17" s="38">
        <v>3.5</v>
      </c>
      <c r="F17" s="38">
        <f t="shared" si="0"/>
        <v>117.5</v>
      </c>
      <c r="G17" s="31">
        <v>0</v>
      </c>
      <c r="H17" s="31">
        <v>0</v>
      </c>
      <c r="I17" s="31">
        <v>0</v>
      </c>
      <c r="J17" s="50">
        <v>373</v>
      </c>
      <c r="K17" s="31">
        <v>4.0999999999999996</v>
      </c>
      <c r="L17" s="31">
        <f t="shared" si="1"/>
        <v>121.6</v>
      </c>
      <c r="M17" s="43">
        <f>SUM(D17*($W$5*$W$13))+(E17*$W$9)+(G17*($W$5*$W$13))+(H17*$W$8)+(I17*$W$7)+(K17*$W$6)+($O17*$W$10-$W$10)</f>
        <v>4168091.4161999994</v>
      </c>
      <c r="N17" s="43"/>
      <c r="O17" s="44">
        <v>2</v>
      </c>
      <c r="P17" s="44" t="s">
        <v>228</v>
      </c>
      <c r="Q17" s="44" t="s">
        <v>133</v>
      </c>
      <c r="R17" s="44">
        <v>2</v>
      </c>
      <c r="S17" s="69">
        <v>42248</v>
      </c>
      <c r="T17" s="69" t="s">
        <v>117</v>
      </c>
      <c r="U17" s="44" t="s">
        <v>120</v>
      </c>
      <c r="V17" s="95">
        <f t="shared" si="2"/>
        <v>35473.118435744676</v>
      </c>
      <c r="W17" s="96"/>
      <c r="X17" s="28"/>
      <c r="Y17" s="29">
        <f t="shared" si="3"/>
        <v>3918005.9312279993</v>
      </c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  <c r="IW17" s="26"/>
      <c r="IX17" s="26"/>
      <c r="IY17" s="26"/>
      <c r="IZ17" s="26"/>
    </row>
    <row r="18" spans="1:260" s="30" customFormat="1" ht="16.5" customHeight="1" thickBot="1">
      <c r="A18" s="59" t="s">
        <v>89</v>
      </c>
      <c r="B18" s="59" t="s">
        <v>68</v>
      </c>
      <c r="C18" s="42" t="s">
        <v>82</v>
      </c>
      <c r="D18" s="38">
        <v>114</v>
      </c>
      <c r="E18" s="38">
        <v>3.5</v>
      </c>
      <c r="F18" s="38">
        <f t="shared" si="0"/>
        <v>117.5</v>
      </c>
      <c r="G18" s="31">
        <v>0</v>
      </c>
      <c r="H18" s="31">
        <v>0</v>
      </c>
      <c r="I18" s="31">
        <v>0</v>
      </c>
      <c r="J18" s="50">
        <v>376</v>
      </c>
      <c r="K18" s="31">
        <v>5.2</v>
      </c>
      <c r="L18" s="31">
        <f t="shared" si="1"/>
        <v>122.7</v>
      </c>
      <c r="M18" s="43">
        <f>SUM(D18*($W$5*$W$13))+(E18*$W$9)+(G18*($W$5*$W$13))+(H18*$W$8)+(I18*$W$7)+(K18*$W$6)+($O18*$W$10-$W$10)</f>
        <v>4185507.8921999997</v>
      </c>
      <c r="N18" s="43"/>
      <c r="O18" s="44">
        <v>2</v>
      </c>
      <c r="P18" s="44" t="s">
        <v>228</v>
      </c>
      <c r="Q18" s="44" t="s">
        <v>134</v>
      </c>
      <c r="R18" s="44">
        <v>1</v>
      </c>
      <c r="S18" s="69">
        <v>42186</v>
      </c>
      <c r="T18" s="69" t="s">
        <v>114</v>
      </c>
      <c r="U18" s="44" t="s">
        <v>132</v>
      </c>
      <c r="V18" s="95">
        <f t="shared" si="2"/>
        <v>35621.343763404249</v>
      </c>
      <c r="W18" s="96"/>
      <c r="X18" s="28"/>
      <c r="Y18" s="29">
        <f t="shared" si="3"/>
        <v>3934377.4186679996</v>
      </c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  <c r="IW18" s="26"/>
      <c r="IX18" s="26"/>
      <c r="IY18" s="26"/>
      <c r="IZ18" s="26"/>
    </row>
    <row r="19" spans="1:260" s="30" customFormat="1" ht="16.5" customHeight="1" thickBot="1">
      <c r="A19" s="61" t="s">
        <v>89</v>
      </c>
      <c r="B19" s="61" t="s">
        <v>64</v>
      </c>
      <c r="C19" s="45" t="s">
        <v>83</v>
      </c>
      <c r="D19" s="46">
        <v>115</v>
      </c>
      <c r="E19" s="46">
        <v>3.5</v>
      </c>
      <c r="F19" s="46">
        <f t="shared" si="0"/>
        <v>118.5</v>
      </c>
      <c r="G19" s="47">
        <v>0</v>
      </c>
      <c r="H19" s="47">
        <v>0</v>
      </c>
      <c r="I19" s="47">
        <v>0</v>
      </c>
      <c r="J19" s="51">
        <v>374</v>
      </c>
      <c r="K19" s="47">
        <v>4.3</v>
      </c>
      <c r="L19" s="47">
        <f t="shared" si="1"/>
        <v>122.8</v>
      </c>
      <c r="M19" s="39">
        <f>SUM(D19*($W$5*$W$13))+(E19*$W$9)+(G19*($W$5*$W$13))+(H19*$W$8)+(I19*$W$7)+(K19*$W$6)+($O19*$W$10-$W$10)</f>
        <v>4204228.5649999995</v>
      </c>
      <c r="N19" s="39"/>
      <c r="O19" s="63">
        <v>2</v>
      </c>
      <c r="P19" s="63" t="s">
        <v>228</v>
      </c>
      <c r="Q19" s="63" t="s">
        <v>112</v>
      </c>
      <c r="R19" s="63">
        <v>1</v>
      </c>
      <c r="S19" s="70">
        <v>42156</v>
      </c>
      <c r="T19" s="70" t="s">
        <v>107</v>
      </c>
      <c r="U19" s="63" t="s">
        <v>120</v>
      </c>
      <c r="V19" s="95">
        <f t="shared" si="2"/>
        <v>35478.722067510542</v>
      </c>
      <c r="W19" s="96"/>
      <c r="X19" s="28"/>
      <c r="Y19" s="29">
        <f t="shared" si="3"/>
        <v>3951974.8510999992</v>
      </c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  <c r="IW19" s="26"/>
      <c r="IX19" s="26"/>
      <c r="IY19" s="26"/>
      <c r="IZ19" s="26"/>
    </row>
    <row r="20" spans="1:260" s="30" customFormat="1" ht="16.5" customHeight="1" thickBot="1">
      <c r="A20" s="58" t="s">
        <v>89</v>
      </c>
      <c r="B20" s="58" t="s">
        <v>64</v>
      </c>
      <c r="C20" s="36" t="s">
        <v>84</v>
      </c>
      <c r="D20" s="37">
        <v>115</v>
      </c>
      <c r="E20" s="37">
        <v>3.5</v>
      </c>
      <c r="F20" s="37">
        <f t="shared" si="0"/>
        <v>118.5</v>
      </c>
      <c r="G20" s="32">
        <v>0</v>
      </c>
      <c r="H20" s="32">
        <v>0</v>
      </c>
      <c r="I20" s="37">
        <v>99.2</v>
      </c>
      <c r="J20" s="52">
        <v>375</v>
      </c>
      <c r="K20" s="32">
        <v>4.5</v>
      </c>
      <c r="L20" s="32">
        <f t="shared" si="1"/>
        <v>222.2</v>
      </c>
      <c r="M20" s="33">
        <f>SUM(D20*($W$5*$W$14))+(E20*$W$9)+(G20*($W$5*$W$14))+(H20*$W$8)+(I20*$W$7)+(K20*$W$6)+($O20*$W$10-$W$10)</f>
        <v>5689186.2429999989</v>
      </c>
      <c r="N20" s="33"/>
      <c r="O20" s="40">
        <v>2</v>
      </c>
      <c r="P20" s="40" t="s">
        <v>228</v>
      </c>
      <c r="Q20" s="40" t="s">
        <v>137</v>
      </c>
      <c r="R20" s="40">
        <v>2</v>
      </c>
      <c r="S20" s="68">
        <v>42255</v>
      </c>
      <c r="T20" s="68" t="s">
        <v>107</v>
      </c>
      <c r="U20" s="40"/>
      <c r="V20" s="95">
        <f t="shared" si="2"/>
        <v>48010.010489451466</v>
      </c>
      <c r="W20" s="96"/>
      <c r="X20" s="28"/>
      <c r="Y20" s="29">
        <f t="shared" si="3"/>
        <v>5347835.0684199985</v>
      </c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  <c r="IW20" s="26"/>
      <c r="IX20" s="26"/>
      <c r="IY20" s="26"/>
      <c r="IZ20" s="26"/>
    </row>
    <row r="21" spans="1:260" s="30" customFormat="1" ht="16.5" customHeight="1" thickBot="1">
      <c r="A21" s="188" t="s">
        <v>89</v>
      </c>
      <c r="B21" s="188" t="s">
        <v>68</v>
      </c>
      <c r="C21" s="189" t="s">
        <v>85</v>
      </c>
      <c r="D21" s="190">
        <v>114</v>
      </c>
      <c r="E21" s="190">
        <v>3.5</v>
      </c>
      <c r="F21" s="190">
        <f t="shared" si="0"/>
        <v>117.5</v>
      </c>
      <c r="G21" s="191">
        <v>0</v>
      </c>
      <c r="H21" s="191">
        <v>0</v>
      </c>
      <c r="I21" s="190">
        <v>99.4</v>
      </c>
      <c r="J21" s="192">
        <v>362</v>
      </c>
      <c r="K21" s="191">
        <v>1.5</v>
      </c>
      <c r="L21" s="191">
        <f t="shared" si="1"/>
        <v>218.4</v>
      </c>
      <c r="M21" s="193">
        <f>SUM(D21*($W$5*$W$14))+(E21*$W$9)+(G21*($W$5*$W$14))+(H21*$W$8)+(I21*$W$7)+(K21*$W$6)+($O21*$W$10-$W$10)</f>
        <v>5607798.4501999998</v>
      </c>
      <c r="N21" s="193"/>
      <c r="O21" s="194">
        <v>2</v>
      </c>
      <c r="P21" s="194" t="s">
        <v>228</v>
      </c>
      <c r="Q21" s="194" t="s">
        <v>241</v>
      </c>
      <c r="R21" s="194">
        <v>11</v>
      </c>
      <c r="S21" s="195">
        <v>43075</v>
      </c>
      <c r="T21" s="195" t="s">
        <v>114</v>
      </c>
      <c r="U21" s="194" t="s">
        <v>123</v>
      </c>
      <c r="V21" s="95">
        <f t="shared" si="2"/>
        <v>47725.944257021278</v>
      </c>
      <c r="W21" s="96"/>
      <c r="X21" s="28"/>
      <c r="Y21" s="29">
        <f t="shared" si="3"/>
        <v>5271330.5431879992</v>
      </c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  <c r="IW21" s="26"/>
      <c r="IX21" s="26"/>
      <c r="IY21" s="26"/>
      <c r="IZ21" s="26"/>
    </row>
    <row r="22" spans="1:260" s="30" customFormat="1" ht="16.5" customHeight="1" thickBot="1">
      <c r="A22" s="59" t="s">
        <v>89</v>
      </c>
      <c r="B22" s="59" t="s">
        <v>68</v>
      </c>
      <c r="C22" s="42" t="s">
        <v>86</v>
      </c>
      <c r="D22" s="38">
        <v>114</v>
      </c>
      <c r="E22" s="38">
        <v>3.5</v>
      </c>
      <c r="F22" s="38">
        <f t="shared" si="0"/>
        <v>117.5</v>
      </c>
      <c r="G22" s="31">
        <v>0</v>
      </c>
      <c r="H22" s="31">
        <v>0</v>
      </c>
      <c r="I22" s="38">
        <v>99.4</v>
      </c>
      <c r="J22" s="53">
        <v>370</v>
      </c>
      <c r="K22" s="31">
        <v>2.5</v>
      </c>
      <c r="L22" s="31">
        <f t="shared" si="1"/>
        <v>219.4</v>
      </c>
      <c r="M22" s="43">
        <f>SUM(D22*($W$5*$W$14))+(E22*$W$9)+(G22*($W$5*$W$14))+(H22*$W$8)+(I22*$W$7)+(K22*$W$6)+($O22*$W$10-$W$10)</f>
        <v>5623631.6102</v>
      </c>
      <c r="N22" s="43"/>
      <c r="O22" s="44">
        <v>2</v>
      </c>
      <c r="P22" s="44" t="s">
        <v>228</v>
      </c>
      <c r="Q22" s="44" t="s">
        <v>138</v>
      </c>
      <c r="R22" s="44">
        <v>2</v>
      </c>
      <c r="S22" s="69">
        <v>42248</v>
      </c>
      <c r="T22" s="69" t="s">
        <v>124</v>
      </c>
      <c r="U22" s="44" t="s">
        <v>135</v>
      </c>
      <c r="V22" s="95">
        <f t="shared" si="2"/>
        <v>47860.69455489362</v>
      </c>
      <c r="W22" s="96"/>
      <c r="X22" s="28"/>
      <c r="Y22" s="29">
        <f t="shared" si="3"/>
        <v>5286213.7135879993</v>
      </c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  <c r="IW22" s="26"/>
      <c r="IX22" s="26"/>
      <c r="IY22" s="26"/>
      <c r="IZ22" s="26"/>
    </row>
    <row r="23" spans="1:260" s="30" customFormat="1" ht="16.2">
      <c r="A23" s="59" t="s">
        <v>89</v>
      </c>
      <c r="B23" s="59" t="s">
        <v>64</v>
      </c>
      <c r="C23" s="42" t="s">
        <v>87</v>
      </c>
      <c r="D23" s="38">
        <v>115</v>
      </c>
      <c r="E23" s="38">
        <v>3.5</v>
      </c>
      <c r="F23" s="38">
        <f t="shared" si="0"/>
        <v>118.5</v>
      </c>
      <c r="G23" s="31">
        <v>0</v>
      </c>
      <c r="H23" s="31">
        <v>0</v>
      </c>
      <c r="I23" s="38">
        <v>99.2</v>
      </c>
      <c r="J23" s="38"/>
      <c r="K23" s="31">
        <v>0</v>
      </c>
      <c r="L23" s="31">
        <f t="shared" si="1"/>
        <v>217.7</v>
      </c>
      <c r="M23" s="43">
        <f>SUM(D23*($W$5*$W$14))+(E23*$W$9)+(G23*($W$5*$W$14))+(H23*$W$8)+(I23*$W$7)+(K23*$W$6)+($O23*$W$10-$W$10)</f>
        <v>5617937.0229999991</v>
      </c>
      <c r="N23" s="43"/>
      <c r="O23" s="44">
        <v>2</v>
      </c>
      <c r="P23" s="44" t="s">
        <v>228</v>
      </c>
      <c r="Q23" s="44" t="s">
        <v>139</v>
      </c>
      <c r="R23" s="44">
        <v>2</v>
      </c>
      <c r="S23" s="69"/>
      <c r="T23" s="69" t="s">
        <v>107</v>
      </c>
      <c r="U23" s="44" t="s">
        <v>123</v>
      </c>
      <c r="V23" s="95">
        <f t="shared" si="2"/>
        <v>47408.75124894514</v>
      </c>
      <c r="W23" s="100"/>
      <c r="X23" s="101"/>
      <c r="Y23" s="29">
        <f t="shared" si="3"/>
        <v>5280860.8016199991</v>
      </c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  <c r="IW23" s="26"/>
      <c r="IX23" s="26"/>
      <c r="IY23" s="26"/>
      <c r="IZ23" s="26"/>
    </row>
    <row r="24" spans="1:260" ht="16.2" hidden="1">
      <c r="A24" s="3"/>
      <c r="B24" s="3"/>
      <c r="C24" s="14"/>
      <c r="D24" s="4"/>
      <c r="E24" s="4"/>
      <c r="F24" s="4"/>
      <c r="G24" s="4"/>
      <c r="H24" s="4"/>
      <c r="I24" s="4"/>
      <c r="J24" s="4"/>
      <c r="K24" s="4"/>
      <c r="L24" s="4"/>
      <c r="M24" s="5"/>
      <c r="N24" s="5"/>
      <c r="O24" s="3"/>
      <c r="P24" s="3"/>
      <c r="Q24" s="3"/>
      <c r="R24" s="3"/>
      <c r="S24" s="71"/>
      <c r="T24" s="71"/>
      <c r="U24" s="3"/>
      <c r="V24" s="3"/>
      <c r="W24" s="1"/>
      <c r="X24" s="1"/>
      <c r="Y24" s="24">
        <f t="shared" si="3"/>
        <v>0</v>
      </c>
    </row>
    <row r="25" spans="1:260" ht="16.2" hidden="1">
      <c r="A25" s="1"/>
      <c r="B25" s="1"/>
      <c r="C25" s="15"/>
      <c r="D25" s="16">
        <f t="shared" ref="D25:I25" si="4">SUM(D4:D24)</f>
        <v>2275</v>
      </c>
      <c r="E25" s="16">
        <f t="shared" si="4"/>
        <v>72.5</v>
      </c>
      <c r="F25" s="16">
        <f t="shared" si="4"/>
        <v>2347.5</v>
      </c>
      <c r="G25" s="16">
        <f t="shared" si="4"/>
        <v>0</v>
      </c>
      <c r="H25" s="16">
        <f t="shared" si="4"/>
        <v>233.60000000000002</v>
      </c>
      <c r="I25" s="16">
        <f t="shared" si="4"/>
        <v>397.2</v>
      </c>
      <c r="J25" s="16"/>
      <c r="K25" s="16"/>
      <c r="L25" s="16">
        <f>SUM(L4:L24)</f>
        <v>3051.7999999999997</v>
      </c>
      <c r="M25" s="6">
        <f>SUM(M5:M24)</f>
        <v>87635367.867399991</v>
      </c>
      <c r="N25" s="6"/>
      <c r="O25" s="1"/>
      <c r="P25" s="1"/>
      <c r="Q25" s="1"/>
      <c r="R25" s="1"/>
      <c r="S25" s="72"/>
      <c r="T25" s="72"/>
      <c r="U25" s="1"/>
      <c r="V25" s="1"/>
      <c r="W25" s="17"/>
      <c r="X25" s="1"/>
      <c r="Y25" s="24">
        <f t="shared" si="3"/>
        <v>82377245.795355991</v>
      </c>
    </row>
  </sheetData>
  <mergeCells count="2">
    <mergeCell ref="J2:K2"/>
    <mergeCell ref="M2:N2"/>
  </mergeCells>
  <phoneticPr fontId="13" type="noConversion"/>
  <pageMargins left="0" right="0" top="0" bottom="0" header="0" footer="0"/>
  <pageSetup scale="93" orientation="landscape"/>
  <headerFooter>
    <oddFooter>&amp;"Helvetica,Regular"&amp;11&amp;P</oddFooter>
  </headerFooter>
  <ignoredErrors>
    <ignoredError sqref="C4:C19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5BEE20"/>
    <pageSetUpPr fitToPage="1"/>
  </sheetPr>
  <dimension ref="A1:JD26"/>
  <sheetViews>
    <sheetView zoomScaleNormal="100" zoomScalePageLayoutView="150" workbookViewId="0">
      <selection activeCell="Q32" sqref="Q32"/>
    </sheetView>
  </sheetViews>
  <sheetFormatPr baseColWidth="10" defaultColWidth="6.84375" defaultRowHeight="15" customHeight="1"/>
  <cols>
    <col min="1" max="1" width="7.15234375" style="26" customWidth="1"/>
    <col min="2" max="2" width="6.23046875" style="26" customWidth="1"/>
    <col min="3" max="3" width="6.3828125" style="26" customWidth="1"/>
    <col min="4" max="5" width="6.84375" style="26" hidden="1" customWidth="1"/>
    <col min="6" max="6" width="8.15234375" style="26" customWidth="1"/>
    <col min="7" max="7" width="6.84375" style="26" hidden="1" customWidth="1"/>
    <col min="8" max="8" width="7.3828125" style="26" customWidth="1"/>
    <col min="9" max="9" width="5.765625" style="26" customWidth="1"/>
    <col min="10" max="10" width="6.765625" style="26" customWidth="1"/>
    <col min="11" max="11" width="5.3828125" style="26" customWidth="1"/>
    <col min="12" max="14" width="10.84375" style="26" hidden="1" customWidth="1"/>
    <col min="15" max="15" width="13" style="26" customWidth="1"/>
    <col min="16" max="16" width="13" style="26" hidden="1" customWidth="1"/>
    <col min="17" max="17" width="13.53515625" style="26" bestFit="1" customWidth="1"/>
    <col min="18" max="18" width="5.765625" style="264" customWidth="1"/>
    <col min="19" max="19" width="8.15234375" style="264" customWidth="1"/>
    <col min="20" max="20" width="18.15234375" style="264" customWidth="1"/>
    <col min="21" max="21" width="4.3828125" style="264" customWidth="1"/>
    <col min="22" max="22" width="7.84375" style="265" hidden="1" customWidth="1"/>
    <col min="23" max="23" width="7.84375" style="265" customWidth="1"/>
    <col min="24" max="24" width="4.23046875" style="265" customWidth="1"/>
    <col min="25" max="25" width="10.765625" style="264" hidden="1" customWidth="1"/>
    <col min="26" max="29" width="10.765625" style="26" hidden="1" customWidth="1"/>
    <col min="30" max="33" width="10.765625" style="26" customWidth="1"/>
    <col min="34" max="264" width="6.84375" style="26" customWidth="1"/>
    <col min="265" max="16384" width="6.84375" style="30"/>
  </cols>
  <sheetData>
    <row r="1" spans="1:264" ht="33" customHeight="1">
      <c r="A1" s="211" t="s">
        <v>0</v>
      </c>
      <c r="B1" s="129"/>
      <c r="C1" s="129"/>
      <c r="D1" s="129"/>
      <c r="E1" s="129"/>
      <c r="F1" s="129"/>
      <c r="G1" s="129"/>
      <c r="H1" s="129"/>
      <c r="I1" s="129"/>
      <c r="J1" s="244"/>
      <c r="K1" s="129"/>
      <c r="L1" s="129"/>
      <c r="M1" s="129"/>
      <c r="N1" s="129"/>
      <c r="O1" s="129">
        <v>21</v>
      </c>
      <c r="P1" s="129"/>
      <c r="Q1" s="129"/>
      <c r="R1" s="129"/>
      <c r="S1" s="129"/>
      <c r="T1" s="129"/>
      <c r="U1" s="129"/>
      <c r="V1" s="245"/>
      <c r="W1" s="245"/>
      <c r="X1" s="245"/>
      <c r="Y1" s="129"/>
      <c r="Z1" s="246"/>
      <c r="AA1" s="101"/>
      <c r="AB1" s="101"/>
      <c r="AC1" s="101"/>
    </row>
    <row r="2" spans="1:264" ht="33" customHeight="1">
      <c r="A2" s="247" t="s">
        <v>144</v>
      </c>
      <c r="B2" s="130"/>
      <c r="C2" s="130"/>
      <c r="D2" s="130"/>
      <c r="E2" s="130"/>
      <c r="F2" s="130"/>
      <c r="G2" s="130"/>
      <c r="H2" s="130"/>
      <c r="I2" s="734"/>
      <c r="J2" s="734"/>
      <c r="K2" s="248"/>
      <c r="L2" s="130"/>
      <c r="M2" s="130"/>
      <c r="N2" s="130"/>
      <c r="O2" s="318" t="s">
        <v>325</v>
      </c>
      <c r="P2" s="318"/>
      <c r="Q2" s="318">
        <v>19</v>
      </c>
      <c r="R2" s="250"/>
      <c r="S2" s="130"/>
      <c r="T2" s="130"/>
      <c r="U2" s="130"/>
      <c r="V2" s="249"/>
      <c r="W2" s="249"/>
      <c r="X2" s="249"/>
      <c r="Y2" s="340" t="s">
        <v>156</v>
      </c>
      <c r="Z2" s="342"/>
      <c r="AA2" s="341"/>
      <c r="AB2" s="172"/>
      <c r="AC2" s="172"/>
    </row>
    <row r="3" spans="1:264" ht="45.75" customHeight="1" thickBot="1">
      <c r="A3" s="223" t="s">
        <v>1</v>
      </c>
      <c r="B3" s="223" t="s">
        <v>2</v>
      </c>
      <c r="C3" s="223" t="s">
        <v>3</v>
      </c>
      <c r="D3" s="223" t="s">
        <v>62</v>
      </c>
      <c r="E3" s="223" t="s">
        <v>63</v>
      </c>
      <c r="F3" s="223" t="s">
        <v>6</v>
      </c>
      <c r="G3" s="223" t="s">
        <v>7</v>
      </c>
      <c r="H3" s="223" t="s">
        <v>8</v>
      </c>
      <c r="I3" s="223" t="s">
        <v>9</v>
      </c>
      <c r="J3" s="223" t="s">
        <v>147</v>
      </c>
      <c r="K3" s="223" t="s">
        <v>148</v>
      </c>
      <c r="L3" s="223" t="s">
        <v>11</v>
      </c>
      <c r="M3" s="251" t="s">
        <v>146</v>
      </c>
      <c r="N3" s="251"/>
      <c r="O3" s="223" t="s">
        <v>12</v>
      </c>
      <c r="P3" s="223"/>
      <c r="Q3" s="691" t="s">
        <v>326</v>
      </c>
      <c r="R3" s="266" t="s">
        <v>13</v>
      </c>
      <c r="S3" s="266" t="s">
        <v>102</v>
      </c>
      <c r="T3" s="266" t="s">
        <v>95</v>
      </c>
      <c r="U3" s="266" t="s">
        <v>103</v>
      </c>
      <c r="V3" s="267" t="s">
        <v>97</v>
      </c>
      <c r="W3" s="267"/>
      <c r="X3" s="267" t="s">
        <v>98</v>
      </c>
      <c r="Y3" s="252"/>
      <c r="Z3" s="18" t="s">
        <v>104</v>
      </c>
      <c r="AA3" s="96"/>
      <c r="AB3" s="28"/>
      <c r="AC3" s="101"/>
    </row>
    <row r="4" spans="1:264" s="138" customFormat="1" ht="16.5" customHeight="1" thickBot="1">
      <c r="A4" s="175" t="s">
        <v>149</v>
      </c>
      <c r="B4" s="175" t="s">
        <v>64</v>
      </c>
      <c r="C4" s="766" t="s">
        <v>65</v>
      </c>
      <c r="D4" s="163">
        <v>115</v>
      </c>
      <c r="E4" s="163">
        <v>3.5</v>
      </c>
      <c r="F4" s="163">
        <f t="shared" ref="F4:F23" si="0">D4+E4</f>
        <v>118.5</v>
      </c>
      <c r="G4" s="164">
        <v>0</v>
      </c>
      <c r="H4" s="164">
        <v>68</v>
      </c>
      <c r="I4" s="164">
        <v>0</v>
      </c>
      <c r="J4" s="165"/>
      <c r="K4" s="164"/>
      <c r="L4" s="164">
        <f t="shared" ref="L4:L23" si="1">D4+E4+G4+H4+I4+K4</f>
        <v>186.5</v>
      </c>
      <c r="M4" s="164"/>
      <c r="N4" s="164"/>
      <c r="O4" s="310">
        <f>SUM((D4*(1+M4)*$AA$5)+(E4*$AA$9)+(G4*$AA$5)+(H4*$AA$8)+(I4*$AA$7)+(K4*$AA$6))+($R4*$AA$10-$AA$10)+(27000)</f>
        <v>6167544</v>
      </c>
      <c r="P4" s="763">
        <f>(O4*11.99%)</f>
        <v>739488.52560000005</v>
      </c>
      <c r="Q4" s="764">
        <f>O4-P4</f>
        <v>5428055.4743999997</v>
      </c>
      <c r="R4" s="687">
        <v>2</v>
      </c>
      <c r="S4" s="662" t="s">
        <v>108</v>
      </c>
      <c r="T4" s="167" t="s">
        <v>328</v>
      </c>
      <c r="U4" s="167">
        <v>21</v>
      </c>
      <c r="V4" s="168"/>
      <c r="W4" s="168">
        <v>43527</v>
      </c>
      <c r="X4" s="168" t="s">
        <v>329</v>
      </c>
      <c r="Y4" s="119"/>
      <c r="Z4" s="253">
        <f t="shared" ref="Z4" si="2">O4/F4</f>
        <v>52046.784810126584</v>
      </c>
      <c r="AA4" s="254"/>
      <c r="AB4" s="255"/>
      <c r="AC4" s="256">
        <f t="shared" ref="AC4" si="3">O4*0.94</f>
        <v>5797491.3599999994</v>
      </c>
      <c r="AD4" s="257"/>
    </row>
    <row r="5" spans="1:264" ht="16.5" hidden="1" customHeight="1" thickBot="1">
      <c r="A5" s="175" t="s">
        <v>149</v>
      </c>
      <c r="B5" s="59" t="s">
        <v>66</v>
      </c>
      <c r="C5" s="42" t="s">
        <v>67</v>
      </c>
      <c r="D5" s="187">
        <v>99</v>
      </c>
      <c r="E5" s="38">
        <v>6</v>
      </c>
      <c r="F5" s="38">
        <f t="shared" si="0"/>
        <v>105</v>
      </c>
      <c r="G5" s="31">
        <v>0</v>
      </c>
      <c r="H5" s="31">
        <v>59</v>
      </c>
      <c r="I5" s="31">
        <v>0</v>
      </c>
      <c r="J5" s="50"/>
      <c r="K5" s="31"/>
      <c r="L5" s="31">
        <f t="shared" si="1"/>
        <v>164</v>
      </c>
      <c r="M5" s="31"/>
      <c r="N5" s="31"/>
      <c r="O5" s="176">
        <f>SUM((D5*(1+M5)*$AA$5)+(E5*$AA$9)+(G5*$AA$5)+(H5*$AA$8)+(I5*$AA$7)+(K5*$AA$6))+($R5*$AA$10-$AA$10)+(27000)</f>
        <v>5469498</v>
      </c>
      <c r="P5" s="682">
        <f t="shared" ref="P5" si="4">(O5*11.87%)</f>
        <v>649229.41259999992</v>
      </c>
      <c r="Q5" s="692">
        <f t="shared" ref="Q5:Q23" si="5">O5-P5</f>
        <v>4820268.5874000005</v>
      </c>
      <c r="R5" s="683">
        <v>2</v>
      </c>
      <c r="S5" s="40" t="s">
        <v>228</v>
      </c>
      <c r="T5" s="44" t="s">
        <v>282</v>
      </c>
      <c r="U5" s="44">
        <v>14</v>
      </c>
      <c r="V5" s="86"/>
      <c r="W5" s="69" t="s">
        <v>115</v>
      </c>
      <c r="X5" s="69" t="s">
        <v>114</v>
      </c>
      <c r="Y5" s="85"/>
      <c r="Z5" s="95">
        <f t="shared" ref="Z5:Z23" si="6">O5/F5</f>
        <v>52090.457142857143</v>
      </c>
      <c r="AA5" s="120">
        <v>36002</v>
      </c>
      <c r="AB5" s="97" t="s">
        <v>18</v>
      </c>
      <c r="AC5" s="29">
        <f t="shared" ref="AC5:AC25" si="7">+O5*0.94</f>
        <v>5141328.12</v>
      </c>
    </row>
    <row r="6" spans="1:264" customFormat="1" ht="16.5" customHeight="1" thickBot="1">
      <c r="A6" s="575" t="s">
        <v>149</v>
      </c>
      <c r="B6" s="576" t="s">
        <v>68</v>
      </c>
      <c r="C6" s="577" t="s">
        <v>69</v>
      </c>
      <c r="D6" s="578">
        <v>114</v>
      </c>
      <c r="E6" s="579">
        <v>3.5</v>
      </c>
      <c r="F6" s="580">
        <f t="shared" si="0"/>
        <v>117.5</v>
      </c>
      <c r="G6" s="581">
        <v>0</v>
      </c>
      <c r="H6" s="581">
        <v>96</v>
      </c>
      <c r="I6" s="581">
        <v>0</v>
      </c>
      <c r="J6" s="582">
        <v>236</v>
      </c>
      <c r="K6" s="581">
        <v>4.9000000000000004</v>
      </c>
      <c r="L6" s="581">
        <f t="shared" si="1"/>
        <v>218.4</v>
      </c>
      <c r="M6" s="581">
        <v>0.01</v>
      </c>
      <c r="N6" s="581"/>
      <c r="O6" s="583">
        <f>SUM((D6*(1+M6)*$AA$5)+(E6*$AA$9)+(G6*$AA$5)+(H6*$AA$8)+(I6*$AA$7)+(K6*$AA$6))+($R6*$AA$10-$AA$10)+(27000)</f>
        <v>6924319.1799999997</v>
      </c>
      <c r="P6" s="682">
        <f>(O6*11.99%)</f>
        <v>830225.86968200002</v>
      </c>
      <c r="Q6" s="692">
        <f>O6-P6</f>
        <v>6094093.3103179997</v>
      </c>
      <c r="R6" s="684">
        <v>2</v>
      </c>
      <c r="S6" s="585"/>
      <c r="T6" s="584"/>
      <c r="U6" s="584"/>
      <c r="V6" s="586">
        <v>42861</v>
      </c>
      <c r="W6" s="586"/>
      <c r="X6" s="586"/>
      <c r="Y6" s="584"/>
      <c r="Z6" s="587">
        <f t="shared" si="6"/>
        <v>58930.375999999997</v>
      </c>
      <c r="AA6" s="588">
        <v>17981</v>
      </c>
      <c r="AB6" s="589" t="s">
        <v>10</v>
      </c>
      <c r="AC6" s="24">
        <f t="shared" si="7"/>
        <v>6508860.0291999998</v>
      </c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</row>
    <row r="7" spans="1:264" ht="16.5" customHeight="1" thickBot="1">
      <c r="A7" s="175" t="s">
        <v>149</v>
      </c>
      <c r="B7" s="61" t="s">
        <v>64</v>
      </c>
      <c r="C7" s="45" t="s">
        <v>70</v>
      </c>
      <c r="D7" s="62">
        <v>115</v>
      </c>
      <c r="E7" s="46">
        <v>3.5</v>
      </c>
      <c r="F7" s="46">
        <f t="shared" si="0"/>
        <v>118.5</v>
      </c>
      <c r="G7" s="47">
        <v>0</v>
      </c>
      <c r="H7" s="47">
        <v>99</v>
      </c>
      <c r="I7" s="31">
        <v>0</v>
      </c>
      <c r="J7" s="51"/>
      <c r="K7" s="47"/>
      <c r="L7" s="47">
        <f t="shared" si="1"/>
        <v>217.5</v>
      </c>
      <c r="M7" s="47">
        <v>0.01</v>
      </c>
      <c r="N7" s="47"/>
      <c r="O7" s="176">
        <f>SUM((D7*(1+M7)*$AA$5)+(E7*$AA$9)+(G7*$AA$5)+(H7*$AA$8)+(I7*$AA$7)+(K7*$AA$6))+($R7*$AA$10-$AA$10)+(27000)</f>
        <v>6943677.3000000007</v>
      </c>
      <c r="P7" s="763">
        <f>(O7*11.99%)</f>
        <v>832546.90827000013</v>
      </c>
      <c r="Q7" s="764">
        <f t="shared" si="5"/>
        <v>6111130.3917300003</v>
      </c>
      <c r="R7" s="688">
        <v>2</v>
      </c>
      <c r="S7" s="40" t="s">
        <v>349</v>
      </c>
      <c r="T7" s="63" t="s">
        <v>306</v>
      </c>
      <c r="U7" s="63">
        <v>20</v>
      </c>
      <c r="V7" s="70"/>
      <c r="W7" s="765" t="s">
        <v>336</v>
      </c>
      <c r="X7" s="70" t="s">
        <v>307</v>
      </c>
      <c r="Y7" s="91"/>
      <c r="Z7" s="95">
        <f t="shared" si="6"/>
        <v>58596.43291139241</v>
      </c>
      <c r="AA7" s="352">
        <v>13662.27</v>
      </c>
      <c r="AB7" s="97" t="s">
        <v>9</v>
      </c>
      <c r="AC7" s="29">
        <f t="shared" si="7"/>
        <v>6527056.6620000005</v>
      </c>
    </row>
    <row r="8" spans="1:264" ht="16.5" hidden="1" customHeight="1" thickBot="1">
      <c r="A8" s="175" t="s">
        <v>149</v>
      </c>
      <c r="B8" s="58" t="s">
        <v>64</v>
      </c>
      <c r="C8" s="36" t="s">
        <v>71</v>
      </c>
      <c r="D8" s="37">
        <v>115</v>
      </c>
      <c r="E8" s="37">
        <v>3.5</v>
      </c>
      <c r="F8" s="37">
        <f t="shared" si="0"/>
        <v>118.5</v>
      </c>
      <c r="G8" s="32"/>
      <c r="H8" s="32">
        <v>0</v>
      </c>
      <c r="I8" s="32">
        <v>0</v>
      </c>
      <c r="J8" s="49">
        <v>222</v>
      </c>
      <c r="K8" s="32">
        <v>4.3</v>
      </c>
      <c r="L8" s="32">
        <f t="shared" si="1"/>
        <v>122.8</v>
      </c>
      <c r="M8" s="32"/>
      <c r="N8" s="32"/>
      <c r="O8" s="176">
        <f>SUM((D8*(1+M8)*$AA$5*$AA$11)+(E8*$AA$9)+(G8*$AA$5)+(H8*$AA$8)+(I8*$AA$7)+(K8*$AA$6))+($R8*$AA$10-$AA$10) +(27000)</f>
        <v>4674596.5999999996</v>
      </c>
      <c r="P8" s="682">
        <f t="shared" ref="P8:P19" si="8">(O8*12.87%)</f>
        <v>601620.58241999988</v>
      </c>
      <c r="Q8" s="692">
        <f t="shared" si="5"/>
        <v>4072976.0175799998</v>
      </c>
      <c r="R8" s="685">
        <v>2</v>
      </c>
      <c r="S8" s="40" t="s">
        <v>228</v>
      </c>
      <c r="T8" s="40" t="s">
        <v>157</v>
      </c>
      <c r="U8" s="40">
        <v>5</v>
      </c>
      <c r="V8" s="68">
        <v>42552</v>
      </c>
      <c r="W8" s="68" t="s">
        <v>151</v>
      </c>
      <c r="X8" s="268" t="s">
        <v>107</v>
      </c>
      <c r="Y8" s="78"/>
      <c r="Z8" s="95">
        <f t="shared" si="6"/>
        <v>39448.072573839658</v>
      </c>
      <c r="AA8" s="352">
        <v>23701</v>
      </c>
      <c r="AB8" s="97" t="s">
        <v>23</v>
      </c>
      <c r="AC8" s="29">
        <f t="shared" si="7"/>
        <v>4394120.8039999995</v>
      </c>
    </row>
    <row r="9" spans="1:264" ht="16.5" hidden="1" customHeight="1" thickBot="1">
      <c r="A9" s="175" t="s">
        <v>149</v>
      </c>
      <c r="B9" s="59" t="s">
        <v>68</v>
      </c>
      <c r="C9" s="42" t="s">
        <v>72</v>
      </c>
      <c r="D9" s="38">
        <v>114</v>
      </c>
      <c r="E9" s="38">
        <v>3.5</v>
      </c>
      <c r="F9" s="38">
        <f t="shared" si="0"/>
        <v>117.5</v>
      </c>
      <c r="G9" s="31">
        <v>0</v>
      </c>
      <c r="H9" s="31">
        <v>0</v>
      </c>
      <c r="I9" s="31">
        <v>0</v>
      </c>
      <c r="J9" s="51"/>
      <c r="K9" s="31"/>
      <c r="L9" s="31">
        <f t="shared" si="1"/>
        <v>117.5</v>
      </c>
      <c r="M9" s="31"/>
      <c r="N9" s="31"/>
      <c r="O9" s="176">
        <f>SUM((D9*(1+M9)*$AA$5*$AA$11)+(E9*$AA$9)+(G9*$AA$5)+(H9*$AA$8)+(I9*$AA$7)+(K9*$AA$6))+($R9*$AA$10-$AA$10)+(27000)</f>
        <v>4560916.28</v>
      </c>
      <c r="P9" s="682">
        <f t="shared" si="8"/>
        <v>586989.92523599998</v>
      </c>
      <c r="Q9" s="692">
        <f t="shared" si="5"/>
        <v>3973926.3547640005</v>
      </c>
      <c r="R9" s="683">
        <v>2</v>
      </c>
      <c r="S9" s="44" t="s">
        <v>228</v>
      </c>
      <c r="T9" s="44" t="s">
        <v>158</v>
      </c>
      <c r="U9" s="44">
        <v>5</v>
      </c>
      <c r="V9" s="69">
        <v>42552</v>
      </c>
      <c r="W9" s="69" t="s">
        <v>116</v>
      </c>
      <c r="X9" s="204" t="s">
        <v>141</v>
      </c>
      <c r="Y9" s="85"/>
      <c r="Z9" s="95">
        <f t="shared" si="6"/>
        <v>38816.308765957452</v>
      </c>
      <c r="AA9" s="120">
        <v>36518</v>
      </c>
      <c r="AB9" s="97" t="s">
        <v>73</v>
      </c>
      <c r="AC9" s="29">
        <f t="shared" si="7"/>
        <v>4287261.3032</v>
      </c>
    </row>
    <row r="10" spans="1:264" s="57" customFormat="1" ht="16.5" hidden="1" customHeight="1" thickBot="1">
      <c r="A10" s="175" t="s">
        <v>149</v>
      </c>
      <c r="B10" s="59" t="s">
        <v>68</v>
      </c>
      <c r="C10" s="42" t="s">
        <v>74</v>
      </c>
      <c r="D10" s="38">
        <v>114</v>
      </c>
      <c r="E10" s="38">
        <v>3.5</v>
      </c>
      <c r="F10" s="38">
        <f t="shared" si="0"/>
        <v>117.5</v>
      </c>
      <c r="G10" s="31">
        <v>0</v>
      </c>
      <c r="H10" s="31">
        <v>0</v>
      </c>
      <c r="I10" s="31">
        <v>0</v>
      </c>
      <c r="J10" s="49"/>
      <c r="K10" s="31"/>
      <c r="L10" s="31">
        <f t="shared" si="1"/>
        <v>117.5</v>
      </c>
      <c r="M10" s="31"/>
      <c r="N10" s="31"/>
      <c r="O10" s="176">
        <f>SUM((D10*(1+M10)*$AA$5*$AA$11)+(E10*$AA$9)+(G10*$AA$5)+(H10*$AA$8)+(I10*$AA$7)+(K10*$AA$6))+($R10*$AA$10-$AA$10)+(27000)</f>
        <v>4560916.28</v>
      </c>
      <c r="P10" s="682">
        <f t="shared" si="8"/>
        <v>586989.92523599998</v>
      </c>
      <c r="Q10" s="692">
        <f t="shared" si="5"/>
        <v>3973926.3547640005</v>
      </c>
      <c r="R10" s="683">
        <v>2</v>
      </c>
      <c r="S10" s="44" t="s">
        <v>228</v>
      </c>
      <c r="T10" s="44" t="s">
        <v>299</v>
      </c>
      <c r="U10" s="44">
        <v>17</v>
      </c>
      <c r="V10" s="69">
        <v>42583</v>
      </c>
      <c r="W10" s="69"/>
      <c r="X10" s="204" t="s">
        <v>107</v>
      </c>
      <c r="Y10" s="44"/>
      <c r="Z10" s="590">
        <f t="shared" si="6"/>
        <v>38816.308765957452</v>
      </c>
      <c r="AA10" s="591">
        <v>260833</v>
      </c>
      <c r="AB10" s="60" t="s">
        <v>27</v>
      </c>
      <c r="AC10" s="55">
        <f t="shared" si="7"/>
        <v>4287261.3032</v>
      </c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  <c r="IW10" s="56"/>
      <c r="IX10" s="56"/>
      <c r="IY10" s="56"/>
      <c r="IZ10" s="56"/>
      <c r="JA10" s="56"/>
      <c r="JB10" s="56"/>
      <c r="JC10" s="56"/>
      <c r="JD10" s="56"/>
    </row>
    <row r="11" spans="1:264" ht="16.5" hidden="1" customHeight="1" thickBot="1">
      <c r="A11" s="175" t="s">
        <v>149</v>
      </c>
      <c r="B11" s="175" t="s">
        <v>64</v>
      </c>
      <c r="C11" s="154" t="s">
        <v>75</v>
      </c>
      <c r="D11" s="155">
        <v>115</v>
      </c>
      <c r="E11" s="155">
        <v>3.5</v>
      </c>
      <c r="F11" s="155">
        <f t="shared" si="0"/>
        <v>118.5</v>
      </c>
      <c r="G11" s="156">
        <v>0</v>
      </c>
      <c r="H11" s="156">
        <v>0</v>
      </c>
      <c r="I11" s="156">
        <v>0</v>
      </c>
      <c r="J11" s="51" t="s">
        <v>203</v>
      </c>
      <c r="K11" s="156">
        <v>3.4</v>
      </c>
      <c r="L11" s="156">
        <f t="shared" si="1"/>
        <v>121.9</v>
      </c>
      <c r="M11" s="156"/>
      <c r="N11" s="156"/>
      <c r="O11" s="176">
        <f>SUM((D11*(1+M11)*$AA$5*$AA$11)+(E11*$AA$9)+(G11*$AA$5)+(H11*$AA$8)+(I11*$AA$7)+(K11*$AA$6))+($R11*$AA$10-$AA$10)+(27000)</f>
        <v>5180079.7</v>
      </c>
      <c r="P11" s="682">
        <f t="shared" si="8"/>
        <v>666676.25738999993</v>
      </c>
      <c r="Q11" s="692">
        <f t="shared" si="5"/>
        <v>4513403.4426100003</v>
      </c>
      <c r="R11" s="686">
        <v>4</v>
      </c>
      <c r="S11" s="303" t="s">
        <v>108</v>
      </c>
      <c r="T11" s="304" t="s">
        <v>175</v>
      </c>
      <c r="U11" s="305">
        <v>6</v>
      </c>
      <c r="V11" s="306">
        <v>42682</v>
      </c>
      <c r="W11" s="304" t="s">
        <v>119</v>
      </c>
      <c r="X11" s="204" t="s">
        <v>124</v>
      </c>
      <c r="Y11" s="117"/>
      <c r="Z11" s="95">
        <f t="shared" si="6"/>
        <v>43713.752742616038</v>
      </c>
      <c r="AA11" s="98">
        <v>1.01</v>
      </c>
      <c r="AB11" s="99" t="s">
        <v>106</v>
      </c>
      <c r="AC11" s="29">
        <f t="shared" si="7"/>
        <v>4869274.9179999996</v>
      </c>
    </row>
    <row r="12" spans="1:264" ht="16.5" hidden="1" customHeight="1" thickBot="1">
      <c r="A12" s="175" t="s">
        <v>149</v>
      </c>
      <c r="B12" s="175" t="s">
        <v>64</v>
      </c>
      <c r="C12" s="162" t="s">
        <v>76</v>
      </c>
      <c r="D12" s="163">
        <v>115</v>
      </c>
      <c r="E12" s="163">
        <v>3.5</v>
      </c>
      <c r="F12" s="163">
        <f t="shared" si="0"/>
        <v>118.5</v>
      </c>
      <c r="G12" s="164">
        <v>0</v>
      </c>
      <c r="H12" s="164">
        <v>0</v>
      </c>
      <c r="I12" s="164">
        <v>0</v>
      </c>
      <c r="J12" s="49"/>
      <c r="K12" s="164"/>
      <c r="L12" s="164">
        <f t="shared" si="1"/>
        <v>118.5</v>
      </c>
      <c r="M12" s="164"/>
      <c r="N12" s="164"/>
      <c r="O12" s="176">
        <f>SUM((D12*(1+M12)*$AA$5*$AA$12)+(E12*$AA$9)+(G12*$AA$5)+(H12*$AA$8)+(I12*$AA$7)+(K12*$AA$6))+($R12*$AA$10-$AA$10)+(27000)</f>
        <v>4659381.75</v>
      </c>
      <c r="P12" s="682">
        <f t="shared" si="8"/>
        <v>599662.43122499995</v>
      </c>
      <c r="Q12" s="692">
        <f t="shared" si="5"/>
        <v>4059719.3187750001</v>
      </c>
      <c r="R12" s="687">
        <v>2</v>
      </c>
      <c r="S12" s="199" t="s">
        <v>228</v>
      </c>
      <c r="T12" s="200" t="s">
        <v>195</v>
      </c>
      <c r="U12" s="201">
        <v>6</v>
      </c>
      <c r="V12" s="202">
        <v>42701</v>
      </c>
      <c r="W12" s="203" t="s">
        <v>119</v>
      </c>
      <c r="X12" s="204" t="s">
        <v>141</v>
      </c>
      <c r="Y12" s="119"/>
      <c r="Z12" s="95">
        <f t="shared" si="6"/>
        <v>39319.677215189877</v>
      </c>
      <c r="AA12" s="98">
        <v>1.0249999999999999</v>
      </c>
      <c r="AB12" s="99" t="s">
        <v>31</v>
      </c>
      <c r="AC12" s="29">
        <f t="shared" si="7"/>
        <v>4379818.8449999997</v>
      </c>
    </row>
    <row r="13" spans="1:264" ht="16.5" hidden="1" customHeight="1" thickBot="1">
      <c r="A13" s="175" t="s">
        <v>149</v>
      </c>
      <c r="B13" s="59" t="s">
        <v>68</v>
      </c>
      <c r="C13" s="42" t="s">
        <v>77</v>
      </c>
      <c r="D13" s="38">
        <v>114</v>
      </c>
      <c r="E13" s="38">
        <v>3.5</v>
      </c>
      <c r="F13" s="38">
        <f t="shared" si="0"/>
        <v>117.5</v>
      </c>
      <c r="G13" s="31">
        <v>0</v>
      </c>
      <c r="H13" s="31">
        <v>0</v>
      </c>
      <c r="I13" s="31">
        <v>0</v>
      </c>
      <c r="J13" s="51"/>
      <c r="K13" s="31"/>
      <c r="L13" s="31">
        <f t="shared" si="1"/>
        <v>117.5</v>
      </c>
      <c r="M13" s="31"/>
      <c r="N13" s="31"/>
      <c r="O13" s="176">
        <f>SUM((D13*(1+M13)*$AA$5*$AA$12)+(E13*$AA$9)+(G13*$AA$5)+(H13*$AA$8)+(I13*$AA$7)+(K13*$AA$6))+($R13*$AA$10-$AA$10)+(27000)</f>
        <v>4622479.6999999993</v>
      </c>
      <c r="P13" s="682">
        <f t="shared" si="8"/>
        <v>594913.13738999981</v>
      </c>
      <c r="Q13" s="692">
        <f t="shared" si="5"/>
        <v>4027566.5626099994</v>
      </c>
      <c r="R13" s="683">
        <v>2</v>
      </c>
      <c r="S13" s="205" t="s">
        <v>228</v>
      </c>
      <c r="T13" s="203" t="s">
        <v>196</v>
      </c>
      <c r="U13" s="201">
        <v>5</v>
      </c>
      <c r="V13" s="202">
        <v>42612</v>
      </c>
      <c r="W13" s="203" t="s">
        <v>125</v>
      </c>
      <c r="X13" s="204" t="s">
        <v>114</v>
      </c>
      <c r="Y13" s="85"/>
      <c r="Z13" s="95">
        <f t="shared" si="6"/>
        <v>39340.252765957441</v>
      </c>
      <c r="AA13" s="98">
        <v>1.04</v>
      </c>
      <c r="AB13" s="99" t="s">
        <v>105</v>
      </c>
      <c r="AC13" s="29">
        <f t="shared" si="7"/>
        <v>4345130.9179999987</v>
      </c>
    </row>
    <row r="14" spans="1:264" ht="16.5" hidden="1" customHeight="1" thickBot="1">
      <c r="A14" s="175" t="s">
        <v>149</v>
      </c>
      <c r="B14" s="59" t="s">
        <v>68</v>
      </c>
      <c r="C14" s="42" t="s">
        <v>78</v>
      </c>
      <c r="D14" s="38">
        <v>114</v>
      </c>
      <c r="E14" s="38">
        <v>3.5</v>
      </c>
      <c r="F14" s="38">
        <f t="shared" si="0"/>
        <v>117.5</v>
      </c>
      <c r="G14" s="31">
        <v>0</v>
      </c>
      <c r="H14" s="31">
        <v>0</v>
      </c>
      <c r="I14" s="31">
        <v>0</v>
      </c>
      <c r="J14" s="49">
        <v>228</v>
      </c>
      <c r="K14" s="31">
        <v>3.5</v>
      </c>
      <c r="L14" s="31">
        <f t="shared" si="1"/>
        <v>121</v>
      </c>
      <c r="M14" s="31">
        <v>5.5E-2</v>
      </c>
      <c r="N14" s="31"/>
      <c r="O14" s="176">
        <f>SUM((D14*(1+M14)*$AA$5*$AA$12)+(E14*$AA$9)+(G14*$AA$5)+(H14*$AA$8)+(I14*$AA$7)+(K14*$AA$6))+($R14*$AA$10-$AA$10)+(27000)</f>
        <v>4916789.0534999995</v>
      </c>
      <c r="P14" s="682">
        <f t="shared" si="8"/>
        <v>632790.75118544989</v>
      </c>
      <c r="Q14" s="692">
        <f t="shared" si="5"/>
        <v>4283998.3023145497</v>
      </c>
      <c r="R14" s="683">
        <v>2</v>
      </c>
      <c r="S14" s="44" t="s">
        <v>228</v>
      </c>
      <c r="T14" s="44" t="s">
        <v>226</v>
      </c>
      <c r="U14" s="44">
        <v>9</v>
      </c>
      <c r="V14" s="69">
        <v>42956</v>
      </c>
      <c r="W14" s="69" t="s">
        <v>143</v>
      </c>
      <c r="X14" s="69" t="s">
        <v>124</v>
      </c>
      <c r="Y14" s="85"/>
      <c r="Z14" s="95">
        <f t="shared" si="6"/>
        <v>41845.013221276589</v>
      </c>
      <c r="AA14" s="353">
        <v>1.06</v>
      </c>
      <c r="AB14" s="97" t="s">
        <v>33</v>
      </c>
      <c r="AC14" s="29">
        <f t="shared" si="7"/>
        <v>4621781.7102899989</v>
      </c>
    </row>
    <row r="15" spans="1:264" ht="16.5" hidden="1" customHeight="1" thickBot="1">
      <c r="A15" s="175" t="s">
        <v>149</v>
      </c>
      <c r="B15" s="61" t="s">
        <v>64</v>
      </c>
      <c r="C15" s="45" t="s">
        <v>79</v>
      </c>
      <c r="D15" s="46">
        <v>115</v>
      </c>
      <c r="E15" s="46">
        <v>3.5</v>
      </c>
      <c r="F15" s="46">
        <f t="shared" si="0"/>
        <v>118.5</v>
      </c>
      <c r="G15" s="47">
        <v>0</v>
      </c>
      <c r="H15" s="47">
        <v>0</v>
      </c>
      <c r="I15" s="47">
        <v>0</v>
      </c>
      <c r="J15" s="51"/>
      <c r="K15" s="47"/>
      <c r="L15" s="47">
        <f t="shared" si="1"/>
        <v>118.5</v>
      </c>
      <c r="M15" s="47">
        <v>5.5E-2</v>
      </c>
      <c r="N15" s="47"/>
      <c r="O15" s="176">
        <f>SUM((D15*(1+M15)*$AA$5*$AA$12)+(E15*$AA$9)+(G15*$AA$5)+(H15*$AA$8)+(I15*$AA$7)+(K15*$AA$6))+($R15*$AA$10-$AA$10)+(27000)</f>
        <v>4892787.2162499987</v>
      </c>
      <c r="P15" s="682">
        <f>(O15*5.86%)</f>
        <v>286717.33087224996</v>
      </c>
      <c r="Q15" s="692">
        <f t="shared" si="5"/>
        <v>4606069.8853777489</v>
      </c>
      <c r="R15" s="688">
        <v>2</v>
      </c>
      <c r="S15" s="63" t="s">
        <v>108</v>
      </c>
      <c r="T15" s="63" t="s">
        <v>229</v>
      </c>
      <c r="U15" s="63">
        <v>9</v>
      </c>
      <c r="V15" s="70">
        <v>42956</v>
      </c>
      <c r="W15" s="70" t="s">
        <v>125</v>
      </c>
      <c r="X15" s="70" t="s">
        <v>141</v>
      </c>
      <c r="Y15" s="91"/>
      <c r="Z15" s="95">
        <f t="shared" si="6"/>
        <v>41289.343597046405</v>
      </c>
      <c r="AA15" s="98">
        <v>1.1499999999999999</v>
      </c>
      <c r="AB15" s="28"/>
      <c r="AC15" s="29">
        <f t="shared" si="7"/>
        <v>4599219.9832749981</v>
      </c>
    </row>
    <row r="16" spans="1:264" ht="16.5" hidden="1" customHeight="1" thickBot="1">
      <c r="A16" s="175" t="s">
        <v>149</v>
      </c>
      <c r="B16" s="58" t="s">
        <v>64</v>
      </c>
      <c r="C16" s="36" t="s">
        <v>80</v>
      </c>
      <c r="D16" s="37">
        <v>115</v>
      </c>
      <c r="E16" s="37">
        <v>3.5</v>
      </c>
      <c r="F16" s="37">
        <f t="shared" si="0"/>
        <v>118.5</v>
      </c>
      <c r="G16" s="32">
        <v>0</v>
      </c>
      <c r="H16" s="32">
        <v>0</v>
      </c>
      <c r="I16" s="32">
        <v>0</v>
      </c>
      <c r="J16" s="49">
        <v>229</v>
      </c>
      <c r="K16" s="32">
        <v>3.5</v>
      </c>
      <c r="L16" s="32">
        <f t="shared" si="1"/>
        <v>122</v>
      </c>
      <c r="M16" s="32"/>
      <c r="N16" s="32"/>
      <c r="O16" s="176">
        <f>SUM((D16*(1+M16)*$AA$5*$AA$13)+(E16*$AA$9)+(G16*$AA$5)+(H16*$AA$8)+(I16*$AA$7)+(K16*$AA$6))+($R16*$AA$10-$AA$10)+(27000)</f>
        <v>4784418.7</v>
      </c>
      <c r="P16" s="682">
        <f t="shared" si="8"/>
        <v>615754.68668999989</v>
      </c>
      <c r="Q16" s="692">
        <f t="shared" si="5"/>
        <v>4168664.0133100003</v>
      </c>
      <c r="R16" s="685">
        <v>2</v>
      </c>
      <c r="S16" s="40" t="s">
        <v>228</v>
      </c>
      <c r="T16" s="40" t="s">
        <v>217</v>
      </c>
      <c r="U16" s="40">
        <v>8</v>
      </c>
      <c r="V16" s="68">
        <v>42862</v>
      </c>
      <c r="W16" s="68" t="s">
        <v>119</v>
      </c>
      <c r="X16" s="68" t="s">
        <v>107</v>
      </c>
      <c r="Y16" s="78"/>
      <c r="Z16" s="95">
        <f t="shared" si="6"/>
        <v>40374.841350210969</v>
      </c>
      <c r="AA16" s="96"/>
      <c r="AB16" s="28"/>
      <c r="AC16" s="29">
        <f t="shared" si="7"/>
        <v>4497353.5779999997</v>
      </c>
    </row>
    <row r="17" spans="1:264" ht="16.5" hidden="1" customHeight="1" thickBot="1">
      <c r="A17" s="175" t="s">
        <v>149</v>
      </c>
      <c r="B17" s="59" t="s">
        <v>68</v>
      </c>
      <c r="C17" s="42" t="s">
        <v>81</v>
      </c>
      <c r="D17" s="38">
        <v>114</v>
      </c>
      <c r="E17" s="38">
        <v>3.5</v>
      </c>
      <c r="F17" s="38">
        <f t="shared" si="0"/>
        <v>117.5</v>
      </c>
      <c r="G17" s="31">
        <v>0</v>
      </c>
      <c r="H17" s="31">
        <v>0</v>
      </c>
      <c r="I17" s="31">
        <v>0</v>
      </c>
      <c r="J17" s="51"/>
      <c r="K17" s="31"/>
      <c r="L17" s="31">
        <f t="shared" si="1"/>
        <v>117.5</v>
      </c>
      <c r="M17" s="31"/>
      <c r="N17" s="31"/>
      <c r="O17" s="176">
        <f>SUM((D17*(1+M17)*$AA$5*$AA$13)+(E17*$AA$9)+(G17*$AA$5)+(H17*$AA$8)+(I17*$AA$7)+(K17*$AA$6))+($R17*$AA$10-$AA$10)+(27000)</f>
        <v>4684043.12</v>
      </c>
      <c r="P17" s="682">
        <f t="shared" si="8"/>
        <v>602836.34954399988</v>
      </c>
      <c r="Q17" s="692">
        <f t="shared" si="5"/>
        <v>4081206.7704560002</v>
      </c>
      <c r="R17" s="683">
        <v>2</v>
      </c>
      <c r="S17" s="185" t="s">
        <v>228</v>
      </c>
      <c r="T17" s="185" t="s">
        <v>280</v>
      </c>
      <c r="U17" s="44"/>
      <c r="V17" s="69">
        <v>42637</v>
      </c>
      <c r="W17" s="185" t="s">
        <v>294</v>
      </c>
      <c r="X17" s="198" t="s">
        <v>114</v>
      </c>
      <c r="Y17" s="85"/>
      <c r="Z17" s="95">
        <f t="shared" si="6"/>
        <v>39864.196765957451</v>
      </c>
      <c r="AA17" s="96"/>
      <c r="AB17" s="28"/>
      <c r="AC17" s="29">
        <f t="shared" si="7"/>
        <v>4403000.5328000002</v>
      </c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  <c r="IW17" s="30"/>
      <c r="IX17" s="30"/>
      <c r="IY17" s="30"/>
      <c r="IZ17" s="30"/>
      <c r="JA17" s="30"/>
      <c r="JB17" s="30"/>
      <c r="JC17" s="30"/>
      <c r="JD17" s="30"/>
    </row>
    <row r="18" spans="1:264" ht="16.5" hidden="1" customHeight="1" thickBot="1">
      <c r="A18" s="175" t="s">
        <v>149</v>
      </c>
      <c r="B18" s="59" t="s">
        <v>68</v>
      </c>
      <c r="C18" s="42" t="s">
        <v>82</v>
      </c>
      <c r="D18" s="38">
        <v>114</v>
      </c>
      <c r="E18" s="38">
        <v>3.5</v>
      </c>
      <c r="F18" s="38">
        <f t="shared" si="0"/>
        <v>117.5</v>
      </c>
      <c r="G18" s="31">
        <v>0</v>
      </c>
      <c r="H18" s="31">
        <v>0</v>
      </c>
      <c r="I18" s="31">
        <v>0</v>
      </c>
      <c r="J18" s="49"/>
      <c r="K18" s="31"/>
      <c r="L18" s="31">
        <f t="shared" si="1"/>
        <v>117.5</v>
      </c>
      <c r="M18" s="31">
        <v>5.5E-2</v>
      </c>
      <c r="N18" s="31"/>
      <c r="O18" s="176">
        <f>SUM((D18*(1+M18)*$AA$5*$AA$13)+(E18*$AA$9)+(G18*$AA$5)+(H18*$AA$8)+(I18*$AA$7)+(K18*$AA$6))+($R18*$AA$10-$AA$10)+(27000)</f>
        <v>4918804.9616</v>
      </c>
      <c r="P18" s="682">
        <f t="shared" si="8"/>
        <v>633050.19855791994</v>
      </c>
      <c r="Q18" s="692">
        <f t="shared" si="5"/>
        <v>4285754.7630420802</v>
      </c>
      <c r="R18" s="683">
        <v>2</v>
      </c>
      <c r="S18" s="185" t="s">
        <v>305</v>
      </c>
      <c r="T18" s="185" t="s">
        <v>197</v>
      </c>
      <c r="U18" s="44">
        <v>5</v>
      </c>
      <c r="V18" s="69">
        <v>42583</v>
      </c>
      <c r="W18" s="185" t="s">
        <v>118</v>
      </c>
      <c r="X18" s="198" t="s">
        <v>107</v>
      </c>
      <c r="Y18" s="85"/>
      <c r="Z18" s="95">
        <f t="shared" si="6"/>
        <v>41862.169885957446</v>
      </c>
      <c r="AA18" s="96"/>
      <c r="AB18" s="28"/>
      <c r="AC18" s="29">
        <f t="shared" si="7"/>
        <v>4623676.6639040001</v>
      </c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  <c r="IW18" s="30"/>
      <c r="IX18" s="30"/>
      <c r="IY18" s="30"/>
      <c r="IZ18" s="30"/>
      <c r="JA18" s="30"/>
      <c r="JB18" s="30"/>
      <c r="JC18" s="30"/>
      <c r="JD18" s="30"/>
    </row>
    <row r="19" spans="1:264" ht="16.5" hidden="1" customHeight="1" thickBot="1">
      <c r="A19" s="175" t="s">
        <v>149</v>
      </c>
      <c r="B19" s="61" t="s">
        <v>64</v>
      </c>
      <c r="C19" s="45" t="s">
        <v>83</v>
      </c>
      <c r="D19" s="46">
        <v>115</v>
      </c>
      <c r="E19" s="46">
        <v>3.5</v>
      </c>
      <c r="F19" s="46">
        <f t="shared" si="0"/>
        <v>118.5</v>
      </c>
      <c r="G19" s="47">
        <v>0</v>
      </c>
      <c r="H19" s="47">
        <v>0</v>
      </c>
      <c r="I19" s="47">
        <v>0</v>
      </c>
      <c r="J19" s="51"/>
      <c r="K19" s="47"/>
      <c r="L19" s="47">
        <f t="shared" si="1"/>
        <v>118.5</v>
      </c>
      <c r="M19" s="47">
        <v>5.5E-2</v>
      </c>
      <c r="N19" s="47"/>
      <c r="O19" s="176">
        <f>SUM((D19*(1+M19)*$AA$5*$AA$13)+(E19*$AA$9)+(G19*$AA$5)+(H19*$AA$8)+(I19*$AA$7)+(K19*$AA$6))+($R19*$AA$10-$AA$10)+(27000)</f>
        <v>4958306.3559999997</v>
      </c>
      <c r="P19" s="682">
        <f t="shared" si="8"/>
        <v>638134.02801719983</v>
      </c>
      <c r="Q19" s="692">
        <f t="shared" si="5"/>
        <v>4320172.3279828001</v>
      </c>
      <c r="R19" s="688">
        <v>2</v>
      </c>
      <c r="S19" s="197" t="s">
        <v>228</v>
      </c>
      <c r="T19" s="197" t="s">
        <v>198</v>
      </c>
      <c r="U19" s="63">
        <v>6</v>
      </c>
      <c r="V19" s="70">
        <v>42679</v>
      </c>
      <c r="W19" s="197" t="s">
        <v>176</v>
      </c>
      <c r="X19" s="198" t="s">
        <v>114</v>
      </c>
      <c r="Y19" s="91"/>
      <c r="Z19" s="95">
        <f t="shared" si="6"/>
        <v>41842.247729957802</v>
      </c>
      <c r="AA19" s="96"/>
      <c r="AB19" s="28"/>
      <c r="AC19" s="29">
        <f t="shared" si="7"/>
        <v>4660807.9746399997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  <c r="IW19" s="30"/>
      <c r="IX19" s="30"/>
      <c r="IY19" s="30"/>
      <c r="IZ19" s="30"/>
      <c r="JA19" s="30"/>
      <c r="JB19" s="30"/>
      <c r="JC19" s="30"/>
      <c r="JD19" s="30"/>
    </row>
    <row r="20" spans="1:264" ht="16.5" customHeight="1" thickBot="1">
      <c r="A20" s="132" t="s">
        <v>149</v>
      </c>
      <c r="B20" s="74" t="s">
        <v>64</v>
      </c>
      <c r="C20" s="75" t="s">
        <v>84</v>
      </c>
      <c r="D20" s="76">
        <v>115</v>
      </c>
      <c r="E20" s="76">
        <v>3.5</v>
      </c>
      <c r="F20" s="76">
        <f t="shared" si="0"/>
        <v>118.5</v>
      </c>
      <c r="G20" s="77">
        <v>0</v>
      </c>
      <c r="H20" s="77">
        <v>0</v>
      </c>
      <c r="I20" s="76">
        <v>99.2</v>
      </c>
      <c r="J20" s="93"/>
      <c r="K20" s="77"/>
      <c r="L20" s="77">
        <f t="shared" si="1"/>
        <v>217.7</v>
      </c>
      <c r="M20" s="77">
        <v>0.06</v>
      </c>
      <c r="N20" s="77"/>
      <c r="O20" s="126">
        <f>SUM((D20*(1+M20)*$AA$5*$AA$14)+(E20*$AA$9)+(G20*$AA$5)+(H20*$AA$8)+(I20*$AA$7)+(K20*$AA$6))+($R20*$AA$10-$AA$10)+(27000)</f>
        <v>6422905.6120000007</v>
      </c>
      <c r="P20" s="682">
        <f>(O20*11.99%)</f>
        <v>770106.38287880016</v>
      </c>
      <c r="Q20" s="692">
        <f t="shared" si="5"/>
        <v>5652799.2291212007</v>
      </c>
      <c r="R20" s="689">
        <v>2</v>
      </c>
      <c r="S20" s="78"/>
      <c r="T20" s="78"/>
      <c r="U20" s="78"/>
      <c r="V20" s="79"/>
      <c r="W20" s="79"/>
      <c r="X20" s="79"/>
      <c r="Y20" s="78"/>
      <c r="Z20" s="95">
        <f t="shared" si="6"/>
        <v>54201.735122362872</v>
      </c>
      <c r="AA20" s="96"/>
      <c r="AB20" s="28"/>
      <c r="AC20" s="29">
        <f t="shared" si="7"/>
        <v>6037531.2752800006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  <c r="IW20" s="30"/>
      <c r="IX20" s="30"/>
      <c r="IY20" s="30"/>
      <c r="IZ20" s="30"/>
      <c r="JA20" s="30"/>
      <c r="JB20" s="30"/>
      <c r="JC20" s="30"/>
      <c r="JD20" s="30"/>
    </row>
    <row r="21" spans="1:264" ht="16.5" customHeight="1" thickBot="1">
      <c r="A21" s="698" t="s">
        <v>149</v>
      </c>
      <c r="B21" s="699" t="s">
        <v>68</v>
      </c>
      <c r="C21" s="700" t="s">
        <v>85</v>
      </c>
      <c r="D21" s="701">
        <v>114</v>
      </c>
      <c r="E21" s="701">
        <v>3.5</v>
      </c>
      <c r="F21" s="701">
        <f t="shared" si="0"/>
        <v>117.5</v>
      </c>
      <c r="G21" s="697">
        <v>0</v>
      </c>
      <c r="H21" s="697">
        <v>0</v>
      </c>
      <c r="I21" s="701">
        <v>99.4</v>
      </c>
      <c r="J21" s="702"/>
      <c r="K21" s="697">
        <v>0</v>
      </c>
      <c r="L21" s="697">
        <f t="shared" si="1"/>
        <v>216.9</v>
      </c>
      <c r="M21" s="697">
        <v>5.5E-2</v>
      </c>
      <c r="N21" s="697"/>
      <c r="O21" s="703">
        <f>SUM((D21*(1+M21)*$AA$5*$AA$14)+(E21*$AA$9)+(G21*$AA$5)+(H21*$AA$8)+(I21*$AA$7)+(K21*$AA$6))+($R21*$AA$10-$AA$10)+(27000)</f>
        <v>6363433.8104000008</v>
      </c>
      <c r="P21" s="704">
        <f>(O21*11.99%)</f>
        <v>762975.71386696014</v>
      </c>
      <c r="Q21" s="705">
        <f t="shared" si="5"/>
        <v>5600458.0965330405</v>
      </c>
      <c r="R21" s="706">
        <v>2</v>
      </c>
      <c r="S21" s="707" t="s">
        <v>309</v>
      </c>
      <c r="T21" s="707" t="s">
        <v>341</v>
      </c>
      <c r="U21" s="707">
        <v>21</v>
      </c>
      <c r="V21" s="708"/>
      <c r="W21" s="708" t="s">
        <v>343</v>
      </c>
      <c r="X21" s="708" t="s">
        <v>342</v>
      </c>
      <c r="Y21" s="127"/>
      <c r="Z21" s="95">
        <f t="shared" si="6"/>
        <v>54156.883492765963</v>
      </c>
      <c r="AA21" s="96"/>
      <c r="AB21" s="28"/>
      <c r="AC21" s="29">
        <f t="shared" si="7"/>
        <v>5981627.7817760007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  <c r="IW21" s="30"/>
      <c r="IX21" s="30"/>
      <c r="IY21" s="30"/>
      <c r="IZ21" s="30"/>
      <c r="JA21" s="30"/>
      <c r="JB21" s="30"/>
      <c r="JC21" s="30"/>
      <c r="JD21" s="30"/>
    </row>
    <row r="22" spans="1:264" ht="16.5" customHeight="1" thickBot="1">
      <c r="A22" s="132" t="s">
        <v>149</v>
      </c>
      <c r="B22" s="80" t="s">
        <v>68</v>
      </c>
      <c r="C22" s="81" t="s">
        <v>86</v>
      </c>
      <c r="D22" s="82">
        <v>114</v>
      </c>
      <c r="E22" s="82">
        <v>3.5</v>
      </c>
      <c r="F22" s="82">
        <f t="shared" si="0"/>
        <v>117.5</v>
      </c>
      <c r="G22" s="83">
        <v>0</v>
      </c>
      <c r="H22" s="83">
        <v>0</v>
      </c>
      <c r="I22" s="82">
        <v>99.4</v>
      </c>
      <c r="J22" s="94"/>
      <c r="K22" s="83">
        <v>0</v>
      </c>
      <c r="L22" s="83">
        <f t="shared" si="1"/>
        <v>216.9</v>
      </c>
      <c r="M22" s="83">
        <v>5.5E-2</v>
      </c>
      <c r="N22" s="83"/>
      <c r="O22" s="126">
        <f>SUM((D22*(1+M22)*$AA$5*$AA$14)+(E22*$AA$9)+(G22*$AA$5)+(H22*$AA$8)+(I22*$AA$7)+(K22*$AA$6))+($R22*$AA$10-$AA$10)+(27000)</f>
        <v>6363433.8104000008</v>
      </c>
      <c r="P22" s="682">
        <f>(O22*11.99%)</f>
        <v>762975.71386696014</v>
      </c>
      <c r="Q22" s="692">
        <f t="shared" si="5"/>
        <v>5600458.0965330405</v>
      </c>
      <c r="R22" s="690">
        <v>2</v>
      </c>
      <c r="S22" s="85" t="s">
        <v>327</v>
      </c>
      <c r="T22" s="85"/>
      <c r="U22" s="85"/>
      <c r="V22" s="86"/>
      <c r="W22" s="86"/>
      <c r="X22" s="86"/>
      <c r="Y22" s="85"/>
      <c r="Z22" s="95">
        <f t="shared" si="6"/>
        <v>54156.883492765963</v>
      </c>
      <c r="AA22" s="96"/>
      <c r="AB22" s="28"/>
      <c r="AC22" s="29">
        <f t="shared" si="7"/>
        <v>5981627.7817760007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  <c r="IW22" s="30"/>
      <c r="IX22" s="30"/>
      <c r="IY22" s="30"/>
      <c r="IZ22" s="30"/>
      <c r="JA22" s="30"/>
      <c r="JB22" s="30"/>
      <c r="JC22" s="30"/>
      <c r="JD22" s="30"/>
    </row>
    <row r="23" spans="1:264" ht="15" customHeight="1">
      <c r="A23" s="132" t="s">
        <v>149</v>
      </c>
      <c r="B23" s="80" t="s">
        <v>64</v>
      </c>
      <c r="C23" s="81" t="s">
        <v>87</v>
      </c>
      <c r="D23" s="82">
        <v>115</v>
      </c>
      <c r="E23" s="82">
        <v>3.5</v>
      </c>
      <c r="F23" s="82">
        <f t="shared" si="0"/>
        <v>118.5</v>
      </c>
      <c r="G23" s="83">
        <v>0</v>
      </c>
      <c r="H23" s="83">
        <v>0</v>
      </c>
      <c r="I23" s="82">
        <v>99.2</v>
      </c>
      <c r="J23" s="82"/>
      <c r="K23" s="83">
        <v>0</v>
      </c>
      <c r="L23" s="83">
        <f t="shared" si="1"/>
        <v>217.7</v>
      </c>
      <c r="M23" s="83">
        <v>5.5E-2</v>
      </c>
      <c r="N23" s="83"/>
      <c r="O23" s="126">
        <f>SUM((D23*(1+M23)*$AA$5*$AA$14)+(E23*$AA$9)+(G23*$AA$5)+(H23*$AA$8)+(I23*$AA$7)+(K23*$AA$6))+($R23*$AA$10-$AA$10)+(27000)</f>
        <v>6400962.3930000002</v>
      </c>
      <c r="P23" s="682">
        <f>(O23*11.99%)</f>
        <v>767475.39092070004</v>
      </c>
      <c r="Q23" s="692">
        <f t="shared" si="5"/>
        <v>5633487.0020793006</v>
      </c>
      <c r="R23" s="690">
        <v>2</v>
      </c>
      <c r="S23" s="85"/>
      <c r="T23" s="85"/>
      <c r="U23" s="85"/>
      <c r="V23" s="86"/>
      <c r="W23" s="86"/>
      <c r="X23" s="86"/>
      <c r="Y23" s="85"/>
      <c r="Z23" s="95">
        <f t="shared" si="6"/>
        <v>54016.560278481011</v>
      </c>
      <c r="AA23" s="100"/>
      <c r="AB23" s="101"/>
      <c r="AC23" s="29">
        <f t="shared" si="7"/>
        <v>6016904.6494199997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  <c r="IW23" s="30"/>
      <c r="IX23" s="30"/>
      <c r="IY23" s="30"/>
      <c r="IZ23" s="30"/>
      <c r="JA23" s="30"/>
      <c r="JB23" s="30"/>
      <c r="JC23" s="30"/>
      <c r="JD23" s="30"/>
    </row>
    <row r="24" spans="1:264" ht="15" hidden="1" customHeight="1">
      <c r="A24" s="106"/>
      <c r="B24" s="106"/>
      <c r="C24" s="258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8"/>
      <c r="P24" s="108"/>
      <c r="Q24" s="629"/>
      <c r="R24" s="106"/>
      <c r="S24" s="106"/>
      <c r="T24" s="106"/>
      <c r="U24" s="106"/>
      <c r="V24" s="259"/>
      <c r="W24" s="259"/>
      <c r="X24" s="259"/>
      <c r="Y24" s="106"/>
      <c r="Z24" s="106"/>
      <c r="AA24" s="101"/>
      <c r="AB24" s="101"/>
      <c r="AC24" s="29">
        <f t="shared" si="7"/>
        <v>0</v>
      </c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  <c r="IW24" s="30"/>
      <c r="IX24" s="30"/>
      <c r="IY24" s="30"/>
      <c r="IZ24" s="30"/>
      <c r="JA24" s="30"/>
      <c r="JB24" s="30"/>
      <c r="JC24" s="30"/>
      <c r="JD24" s="30"/>
    </row>
    <row r="25" spans="1:264" ht="15" hidden="1" customHeight="1">
      <c r="A25" s="101"/>
      <c r="B25" s="101"/>
      <c r="C25" s="260"/>
      <c r="D25" s="261">
        <f t="shared" ref="D25:I25" si="9">SUM(D4:D24)</f>
        <v>2275</v>
      </c>
      <c r="E25" s="261">
        <f t="shared" si="9"/>
        <v>72.5</v>
      </c>
      <c r="F25" s="261">
        <f t="shared" si="9"/>
        <v>2347.5</v>
      </c>
      <c r="G25" s="261">
        <f t="shared" si="9"/>
        <v>0</v>
      </c>
      <c r="H25" s="261">
        <f t="shared" si="9"/>
        <v>322</v>
      </c>
      <c r="I25" s="261">
        <f t="shared" si="9"/>
        <v>397.2</v>
      </c>
      <c r="J25" s="261"/>
      <c r="K25" s="261"/>
      <c r="L25" s="261">
        <f>SUM(L4:L24)</f>
        <v>3086.2999999999997</v>
      </c>
      <c r="M25" s="261"/>
      <c r="N25" s="261"/>
      <c r="O25" s="131">
        <f>SUM(O5:O24)</f>
        <v>102301749.82315001</v>
      </c>
      <c r="P25" s="131"/>
      <c r="Q25" s="131"/>
      <c r="R25" s="101"/>
      <c r="S25" s="101"/>
      <c r="T25" s="101"/>
      <c r="U25" s="101"/>
      <c r="V25" s="262"/>
      <c r="W25" s="262"/>
      <c r="X25" s="262"/>
      <c r="Y25" s="101"/>
      <c r="Z25" s="101"/>
      <c r="AA25" s="263"/>
      <c r="AB25" s="101"/>
      <c r="AC25" s="29">
        <f t="shared" si="7"/>
        <v>96163644.833761007</v>
      </c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  <c r="IW25" s="30"/>
      <c r="IX25" s="30"/>
      <c r="IY25" s="30"/>
      <c r="IZ25" s="30"/>
      <c r="JA25" s="30"/>
      <c r="JB25" s="30"/>
      <c r="JC25" s="30"/>
      <c r="JD25" s="30"/>
    </row>
    <row r="26" spans="1:264" ht="15" hidden="1" customHeight="1"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  <c r="IW26" s="30"/>
      <c r="IX26" s="30"/>
      <c r="IY26" s="30"/>
      <c r="IZ26" s="30"/>
      <c r="JA26" s="30"/>
      <c r="JB26" s="30"/>
      <c r="JC26" s="30"/>
      <c r="JD26" s="30"/>
    </row>
  </sheetData>
  <mergeCells count="1">
    <mergeCell ref="I2:J2"/>
  </mergeCells>
  <phoneticPr fontId="13" type="noConversion"/>
  <pageMargins left="0.75000000000000011" right="0.75000000000000011" top="1" bottom="1" header="0.5" footer="0.5"/>
  <pageSetup scale="8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10D1C"/>
    <pageSetUpPr fitToPage="1"/>
  </sheetPr>
  <dimension ref="A1:JG75"/>
  <sheetViews>
    <sheetView zoomScaleNormal="100" zoomScalePageLayoutView="150" workbookViewId="0">
      <selection activeCell="X41" sqref="X41"/>
    </sheetView>
  </sheetViews>
  <sheetFormatPr baseColWidth="10" defaultColWidth="11.23046875" defaultRowHeight="15" customHeight="1"/>
  <cols>
    <col min="1" max="1" width="7.15234375" style="7" customWidth="1"/>
    <col min="2" max="2" width="5.4609375" style="7" customWidth="1"/>
    <col min="3" max="3" width="7.3828125" style="7" customWidth="1"/>
    <col min="4" max="4" width="7.4609375" style="7" hidden="1" customWidth="1"/>
    <col min="5" max="5" width="6.3828125" style="7" hidden="1" customWidth="1"/>
    <col min="6" max="6" width="8.3828125" style="7" customWidth="1"/>
    <col min="7" max="7" width="10.61328125" style="7" hidden="1" customWidth="1"/>
    <col min="8" max="8" width="7" style="7" customWidth="1"/>
    <col min="9" max="9" width="6.61328125" style="7" customWidth="1"/>
    <col min="10" max="10" width="3.765625" style="7" customWidth="1"/>
    <col min="11" max="11" width="6" style="7" customWidth="1"/>
    <col min="12" max="12" width="7.84375" style="7" hidden="1" customWidth="1"/>
    <col min="13" max="13" width="9.61328125" style="7" hidden="1" customWidth="1"/>
    <col min="14" max="14" width="10.15234375" style="7" hidden="1" customWidth="1"/>
    <col min="15" max="15" width="12.765625" style="7" customWidth="1"/>
    <col min="16" max="16" width="12.765625" style="7" hidden="1" customWidth="1"/>
    <col min="17" max="17" width="12.765625" style="7" customWidth="1"/>
    <col min="18" max="18" width="5.84375" style="7" customWidth="1"/>
    <col min="19" max="19" width="7.3828125" style="7" customWidth="1"/>
    <col min="20" max="20" width="14.15234375" style="7" customWidth="1"/>
    <col min="21" max="21" width="2.3828125" style="7" customWidth="1"/>
    <col min="22" max="22" width="7.61328125" style="7" bestFit="1" customWidth="1"/>
    <col min="23" max="23" width="4.4609375" style="104" customWidth="1"/>
    <col min="24" max="24" width="6.61328125" style="7" customWidth="1"/>
    <col min="25" max="25" width="8.84375" style="19" hidden="1" customWidth="1"/>
    <col min="26" max="26" width="11" style="7" hidden="1" customWidth="1"/>
    <col min="27" max="27" width="8.84375" style="7" hidden="1" customWidth="1"/>
    <col min="28" max="28" width="10.3828125" style="25" hidden="1" customWidth="1"/>
    <col min="29" max="29" width="8.84375" style="7" customWidth="1"/>
    <col min="30" max="267" width="10.61328125" style="7" customWidth="1"/>
  </cols>
  <sheetData>
    <row r="1" spans="1:267" s="30" customFormat="1" ht="33" customHeight="1">
      <c r="A1" s="211" t="s">
        <v>0</v>
      </c>
      <c r="B1" s="211"/>
      <c r="C1" s="211"/>
      <c r="D1" s="212"/>
      <c r="E1" s="212"/>
      <c r="F1" s="213"/>
      <c r="G1" s="212"/>
      <c r="H1" s="213"/>
      <c r="I1" s="213"/>
      <c r="J1" s="213"/>
      <c r="K1" s="214"/>
      <c r="L1" s="213"/>
      <c r="M1" s="213"/>
      <c r="N1" s="213"/>
      <c r="O1" s="527">
        <v>21</v>
      </c>
      <c r="P1" s="527"/>
      <c r="Q1" s="527"/>
      <c r="R1" s="213"/>
      <c r="S1" s="213"/>
      <c r="T1" s="213"/>
      <c r="U1" s="26"/>
      <c r="V1" s="213"/>
      <c r="W1" s="215"/>
      <c r="X1" s="26"/>
      <c r="Y1" s="216"/>
      <c r="Z1" s="212"/>
      <c r="AA1" s="212"/>
      <c r="AB1" s="219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  <c r="IW1" s="26"/>
      <c r="IX1" s="26"/>
      <c r="IY1" s="26"/>
      <c r="IZ1" s="26"/>
      <c r="JA1" s="26"/>
      <c r="JB1" s="26"/>
      <c r="JC1" s="26"/>
      <c r="JD1" s="26"/>
      <c r="JE1" s="26"/>
      <c r="JF1" s="26"/>
      <c r="JG1" s="26"/>
    </row>
    <row r="2" spans="1:267" s="30" customFormat="1" ht="33" customHeight="1">
      <c r="A2" s="211" t="s">
        <v>145</v>
      </c>
      <c r="B2" s="211"/>
      <c r="C2" s="211"/>
      <c r="D2" s="217"/>
      <c r="E2" s="217"/>
      <c r="F2" s="217"/>
      <c r="G2" s="217"/>
      <c r="H2" s="217"/>
      <c r="I2" s="217"/>
      <c r="J2" s="217"/>
      <c r="K2" s="734"/>
      <c r="L2" s="735"/>
      <c r="M2" s="217"/>
      <c r="N2" s="217"/>
      <c r="O2" s="661" t="s">
        <v>325</v>
      </c>
      <c r="P2" s="593"/>
      <c r="Q2" s="661" t="s">
        <v>339</v>
      </c>
      <c r="R2" s="218"/>
      <c r="S2" s="217"/>
      <c r="T2" s="217"/>
      <c r="U2" s="217"/>
      <c r="V2" s="217"/>
      <c r="W2" s="217"/>
      <c r="X2" s="241"/>
      <c r="Y2" s="736" t="s">
        <v>240</v>
      </c>
      <c r="Z2" s="737"/>
      <c r="AA2" s="172"/>
      <c r="AB2" s="34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  <c r="IW2" s="26"/>
      <c r="IX2" s="26"/>
      <c r="IY2" s="26"/>
      <c r="IZ2" s="26"/>
      <c r="JA2" s="26"/>
      <c r="JB2" s="26"/>
      <c r="JC2" s="26"/>
      <c r="JD2" s="26"/>
      <c r="JE2" s="26"/>
      <c r="JF2" s="26"/>
      <c r="JG2" s="26"/>
    </row>
    <row r="3" spans="1:267" s="30" customFormat="1" ht="45.75" customHeight="1" thickBot="1">
      <c r="A3" s="223" t="s">
        <v>1</v>
      </c>
      <c r="B3" s="223" t="s">
        <v>2</v>
      </c>
      <c r="C3" s="223" t="s">
        <v>3</v>
      </c>
      <c r="D3" s="223" t="s">
        <v>4</v>
      </c>
      <c r="E3" s="223" t="s">
        <v>5</v>
      </c>
      <c r="F3" s="223" t="s">
        <v>6</v>
      </c>
      <c r="G3" s="223" t="s">
        <v>7</v>
      </c>
      <c r="H3" s="223" t="s">
        <v>8</v>
      </c>
      <c r="I3" s="223" t="s">
        <v>9</v>
      </c>
      <c r="J3" s="224" t="s">
        <v>90</v>
      </c>
      <c r="K3" s="223"/>
      <c r="L3" s="18" t="s">
        <v>11</v>
      </c>
      <c r="M3" s="18" t="s">
        <v>91</v>
      </c>
      <c r="N3" s="18" t="s">
        <v>146</v>
      </c>
      <c r="O3" s="223" t="s">
        <v>94</v>
      </c>
      <c r="P3" s="223"/>
      <c r="Q3" s="18" t="s">
        <v>333</v>
      </c>
      <c r="R3" s="223" t="s">
        <v>13</v>
      </c>
      <c r="S3" s="223" t="s">
        <v>93</v>
      </c>
      <c r="T3" s="223" t="s">
        <v>95</v>
      </c>
      <c r="U3" s="225" t="s">
        <v>96</v>
      </c>
      <c r="V3" s="223" t="s">
        <v>97</v>
      </c>
      <c r="W3" s="231" t="s">
        <v>98</v>
      </c>
      <c r="X3" s="242" t="s">
        <v>184</v>
      </c>
      <c r="Y3" s="226" t="s">
        <v>99</v>
      </c>
      <c r="Z3" s="27"/>
      <c r="AA3" s="28"/>
      <c r="AB3" s="220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  <c r="IW3" s="26"/>
      <c r="IX3" s="26"/>
      <c r="IY3" s="26"/>
      <c r="IZ3" s="26"/>
      <c r="JA3" s="26"/>
      <c r="JB3" s="26"/>
      <c r="JC3" s="26"/>
      <c r="JD3" s="26"/>
      <c r="JE3" s="26"/>
      <c r="JF3" s="26"/>
      <c r="JG3" s="26"/>
    </row>
    <row r="4" spans="1:267" s="138" customFormat="1" ht="16.5" hidden="1" customHeight="1" thickBot="1">
      <c r="A4" s="307" t="s">
        <v>150</v>
      </c>
      <c r="B4" s="307" t="s">
        <v>14</v>
      </c>
      <c r="C4" s="161" t="s">
        <v>15</v>
      </c>
      <c r="D4" s="164">
        <v>115</v>
      </c>
      <c r="E4" s="164">
        <v>0</v>
      </c>
      <c r="F4" s="164">
        <f t="shared" ref="F4:F42" si="0">D4+E4</f>
        <v>115</v>
      </c>
      <c r="G4" s="164">
        <v>0</v>
      </c>
      <c r="H4" s="308">
        <v>62.21</v>
      </c>
      <c r="I4" s="164">
        <v>0</v>
      </c>
      <c r="J4" s="165"/>
      <c r="K4" s="309"/>
      <c r="L4" s="164">
        <f t="shared" ref="L4:L42" si="1">D4+E4+G4+H4+I4+K4</f>
        <v>177.21</v>
      </c>
      <c r="M4" s="164">
        <f>(IF(F4&lt;100,$Z$15-1,0))+N4</f>
        <v>0</v>
      </c>
      <c r="N4" s="164"/>
      <c r="O4" s="310">
        <f t="shared" ref="O4:O10" si="2">SUM((D4*(1+M4)*$Z$5)+(E4*$Z$9)+(G4*$Z$5)+(H4*$Z$8)+(I4*$Z$7)+(K4*$Z$6))+($R4*$Z$10-$Z$10)+(27000)</f>
        <v>5902502.21</v>
      </c>
      <c r="P4" s="628"/>
      <c r="Q4" s="628"/>
      <c r="R4" s="210">
        <v>2</v>
      </c>
      <c r="S4" s="210" t="s">
        <v>228</v>
      </c>
      <c r="T4" s="210" t="s">
        <v>208</v>
      </c>
      <c r="U4" s="210">
        <v>8</v>
      </c>
      <c r="V4" s="311">
        <v>42769</v>
      </c>
      <c r="W4" s="312" t="s">
        <v>124</v>
      </c>
      <c r="X4" s="281"/>
      <c r="Y4" s="227">
        <f>O4/(F4+H4)</f>
        <v>33307.952203600245</v>
      </c>
      <c r="Z4" s="140"/>
      <c r="AA4" s="141"/>
      <c r="AB4" s="221">
        <f>+O4*0.94</f>
        <v>5548352.0773999998</v>
      </c>
    </row>
    <row r="5" spans="1:267" s="138" customFormat="1" ht="16.5" customHeight="1" thickBot="1">
      <c r="A5" s="749" t="s">
        <v>150</v>
      </c>
      <c r="B5" s="749" t="s">
        <v>16</v>
      </c>
      <c r="C5" s="750" t="s">
        <v>17</v>
      </c>
      <c r="D5" s="751">
        <v>83</v>
      </c>
      <c r="E5" s="752"/>
      <c r="F5" s="752">
        <f t="shared" si="0"/>
        <v>83</v>
      </c>
      <c r="G5" s="753">
        <v>0</v>
      </c>
      <c r="H5" s="754">
        <v>57</v>
      </c>
      <c r="I5" s="755">
        <v>0</v>
      </c>
      <c r="J5" s="286">
        <v>177</v>
      </c>
      <c r="K5" s="287">
        <v>4</v>
      </c>
      <c r="L5" s="752">
        <f t="shared" si="1"/>
        <v>144</v>
      </c>
      <c r="M5" s="756">
        <f t="shared" ref="M5:M42" si="3">(IF(F5&lt;100,$Z$15-1,0))+N5</f>
        <v>0.14999999999999991</v>
      </c>
      <c r="N5" s="756"/>
      <c r="O5" s="757">
        <f t="shared" si="2"/>
        <v>5147104.8999999994</v>
      </c>
      <c r="P5" s="757">
        <f>O5*11.99%</f>
        <v>617137.87751000002</v>
      </c>
      <c r="Q5" s="757">
        <f>O5-P5</f>
        <v>4529967.0224899994</v>
      </c>
      <c r="R5" s="758">
        <v>2</v>
      </c>
      <c r="S5" s="759" t="s">
        <v>344</v>
      </c>
      <c r="T5" s="758" t="s">
        <v>347</v>
      </c>
      <c r="U5" s="758">
        <v>21</v>
      </c>
      <c r="V5" s="762">
        <v>43543</v>
      </c>
      <c r="W5" s="760" t="s">
        <v>343</v>
      </c>
      <c r="X5" s="761" t="s">
        <v>348</v>
      </c>
      <c r="Y5" s="227">
        <f t="shared" ref="Y5:Y42" si="4">O5/(F5+H5)</f>
        <v>36765.034999999996</v>
      </c>
      <c r="Z5" s="174">
        <v>36002</v>
      </c>
      <c r="AA5" s="137" t="s">
        <v>18</v>
      </c>
      <c r="AB5" s="221">
        <f t="shared" ref="AB5:AB42" si="5">+O5*0.94</f>
        <v>4838278.6059999987</v>
      </c>
    </row>
    <row r="6" spans="1:267" s="138" customFormat="1" ht="16.5" customHeight="1" thickBot="1">
      <c r="A6" s="196" t="s">
        <v>150</v>
      </c>
      <c r="B6" s="196" t="s">
        <v>19</v>
      </c>
      <c r="C6" s="151" t="s">
        <v>20</v>
      </c>
      <c r="D6" s="149">
        <v>92</v>
      </c>
      <c r="E6" s="150">
        <v>0</v>
      </c>
      <c r="F6" s="124">
        <f t="shared" si="0"/>
        <v>92</v>
      </c>
      <c r="G6" s="148">
        <v>0</v>
      </c>
      <c r="H6" s="149">
        <v>50</v>
      </c>
      <c r="I6" s="150">
        <v>0</v>
      </c>
      <c r="J6" s="286">
        <v>399</v>
      </c>
      <c r="K6" s="287">
        <v>3</v>
      </c>
      <c r="L6" s="124">
        <f t="shared" si="1"/>
        <v>145</v>
      </c>
      <c r="M6" s="118">
        <f t="shared" si="3"/>
        <v>0.20999999999999991</v>
      </c>
      <c r="N6" s="118">
        <v>0.06</v>
      </c>
      <c r="O6" s="147">
        <f t="shared" si="2"/>
        <v>5534568.6399999997</v>
      </c>
      <c r="P6" s="147">
        <f>O6*11.99%</f>
        <v>663594.77993600001</v>
      </c>
      <c r="Q6" s="147">
        <f t="shared" ref="Q6:Q42" si="6">O6-P6</f>
        <v>4870973.8600639999</v>
      </c>
      <c r="R6" s="105">
        <v>2</v>
      </c>
      <c r="S6" s="144"/>
      <c r="T6" s="105"/>
      <c r="U6" s="105"/>
      <c r="V6" s="105"/>
      <c r="W6" s="232"/>
      <c r="X6" s="230"/>
      <c r="Y6" s="227">
        <f t="shared" si="4"/>
        <v>38975.835492957747</v>
      </c>
      <c r="Z6" s="174">
        <v>17981</v>
      </c>
      <c r="AA6" s="137" t="s">
        <v>10</v>
      </c>
      <c r="AB6" s="221">
        <f t="shared" si="5"/>
        <v>5202494.5215999996</v>
      </c>
    </row>
    <row r="7" spans="1:267" s="138" customFormat="1" ht="16.5" hidden="1" customHeight="1" thickBot="1">
      <c r="A7" s="307" t="s">
        <v>150</v>
      </c>
      <c r="B7" s="307" t="s">
        <v>14</v>
      </c>
      <c r="C7" s="331" t="s">
        <v>21</v>
      </c>
      <c r="D7" s="332">
        <v>115</v>
      </c>
      <c r="E7" s="333">
        <v>0</v>
      </c>
      <c r="F7" s="191">
        <f t="shared" si="0"/>
        <v>115</v>
      </c>
      <c r="G7" s="334">
        <v>0</v>
      </c>
      <c r="H7" s="332">
        <v>63.56</v>
      </c>
      <c r="I7" s="333">
        <v>0</v>
      </c>
      <c r="J7" s="335">
        <v>176</v>
      </c>
      <c r="K7" s="186">
        <v>6.7</v>
      </c>
      <c r="L7" s="191">
        <f t="shared" si="1"/>
        <v>185.26</v>
      </c>
      <c r="M7" s="164">
        <f t="shared" si="3"/>
        <v>0</v>
      </c>
      <c r="N7" s="164"/>
      <c r="O7" s="310">
        <f t="shared" si="2"/>
        <v>6054971.2600000007</v>
      </c>
      <c r="P7" s="147">
        <f t="shared" ref="P7:P40" si="7">O7*12.87%</f>
        <v>779274.80116199993</v>
      </c>
      <c r="Q7" s="147">
        <f t="shared" si="6"/>
        <v>5275696.4588380009</v>
      </c>
      <c r="R7" s="184">
        <v>2</v>
      </c>
      <c r="S7" s="210" t="s">
        <v>228</v>
      </c>
      <c r="T7" s="184" t="s">
        <v>218</v>
      </c>
      <c r="U7" s="184">
        <v>8</v>
      </c>
      <c r="V7" s="336">
        <v>42938</v>
      </c>
      <c r="W7" s="280" t="s">
        <v>141</v>
      </c>
      <c r="X7" s="281" t="s">
        <v>119</v>
      </c>
      <c r="Y7" s="227">
        <f t="shared" si="4"/>
        <v>33910.009296594988</v>
      </c>
      <c r="Z7" s="354">
        <v>13663</v>
      </c>
      <c r="AA7" s="137" t="s">
        <v>9</v>
      </c>
      <c r="AB7" s="221">
        <f t="shared" si="5"/>
        <v>5691672.9844000004</v>
      </c>
    </row>
    <row r="8" spans="1:267" s="138" customFormat="1" ht="16.5" hidden="1" customHeight="1" thickBot="1">
      <c r="A8" s="307" t="s">
        <v>150</v>
      </c>
      <c r="B8" s="307" t="s">
        <v>14</v>
      </c>
      <c r="C8" s="188" t="s">
        <v>22</v>
      </c>
      <c r="D8" s="343">
        <v>115</v>
      </c>
      <c r="E8" s="191">
        <v>0</v>
      </c>
      <c r="F8" s="191">
        <f t="shared" si="0"/>
        <v>115</v>
      </c>
      <c r="G8" s="191">
        <v>0</v>
      </c>
      <c r="H8" s="343">
        <v>63.43</v>
      </c>
      <c r="I8" s="191">
        <v>0</v>
      </c>
      <c r="J8" s="208">
        <v>79</v>
      </c>
      <c r="K8" s="186">
        <v>6.5</v>
      </c>
      <c r="L8" s="191">
        <f t="shared" si="1"/>
        <v>184.93</v>
      </c>
      <c r="M8" s="164">
        <f t="shared" si="3"/>
        <v>0</v>
      </c>
      <c r="N8" s="164"/>
      <c r="O8" s="310">
        <f t="shared" si="2"/>
        <v>6048293.9299999997</v>
      </c>
      <c r="P8" s="147">
        <f t="shared" si="7"/>
        <v>778415.42879099981</v>
      </c>
      <c r="Q8" s="147">
        <f t="shared" si="6"/>
        <v>5269878.5012090001</v>
      </c>
      <c r="R8" s="184">
        <v>2</v>
      </c>
      <c r="S8" s="210" t="s">
        <v>228</v>
      </c>
      <c r="T8" s="184" t="s">
        <v>234</v>
      </c>
      <c r="U8" s="184">
        <v>11</v>
      </c>
      <c r="V8" s="336">
        <v>43067</v>
      </c>
      <c r="W8" s="280" t="s">
        <v>107</v>
      </c>
      <c r="X8" s="281"/>
      <c r="Y8" s="227">
        <f t="shared" si="4"/>
        <v>33897.292663789718</v>
      </c>
      <c r="Z8" s="354">
        <v>23701</v>
      </c>
      <c r="AA8" s="137" t="s">
        <v>23</v>
      </c>
      <c r="AB8" s="221">
        <f t="shared" si="5"/>
        <v>5685396.2941999994</v>
      </c>
    </row>
    <row r="9" spans="1:267" s="138" customFormat="1" ht="16.5" customHeight="1" thickBot="1">
      <c r="A9" s="196" t="s">
        <v>150</v>
      </c>
      <c r="B9" s="196" t="s">
        <v>16</v>
      </c>
      <c r="C9" s="121" t="s">
        <v>24</v>
      </c>
      <c r="D9" s="124">
        <v>83</v>
      </c>
      <c r="E9" s="124"/>
      <c r="F9" s="124">
        <f t="shared" si="0"/>
        <v>83</v>
      </c>
      <c r="G9" s="124">
        <v>0</v>
      </c>
      <c r="H9" s="124">
        <v>57.39</v>
      </c>
      <c r="I9" s="124">
        <v>0</v>
      </c>
      <c r="J9" s="288">
        <v>169</v>
      </c>
      <c r="K9" s="287">
        <v>2.8</v>
      </c>
      <c r="L9" s="124">
        <f t="shared" si="1"/>
        <v>143.19</v>
      </c>
      <c r="M9" s="118">
        <f t="shared" si="3"/>
        <v>0.14999999999999991</v>
      </c>
      <c r="N9" s="118"/>
      <c r="O9" s="147">
        <f t="shared" si="2"/>
        <v>5134771.0899999989</v>
      </c>
      <c r="P9" s="147">
        <f>O9*11.99%</f>
        <v>615659.05369099986</v>
      </c>
      <c r="Q9" s="147">
        <f t="shared" si="6"/>
        <v>4519112.0363089992</v>
      </c>
      <c r="R9" s="105">
        <v>2</v>
      </c>
      <c r="S9" s="144"/>
      <c r="T9" s="105"/>
      <c r="U9" s="105"/>
      <c r="V9" s="105"/>
      <c r="W9" s="232"/>
      <c r="X9" s="230"/>
      <c r="Y9" s="227">
        <f t="shared" si="4"/>
        <v>36575.048721418898</v>
      </c>
      <c r="Z9" s="174">
        <v>36518</v>
      </c>
      <c r="AA9" s="137" t="s">
        <v>25</v>
      </c>
      <c r="AB9" s="221">
        <f t="shared" si="5"/>
        <v>4826684.824599999</v>
      </c>
    </row>
    <row r="10" spans="1:267" s="138" customFormat="1" ht="16.5" customHeight="1" thickBot="1">
      <c r="A10" s="196" t="s">
        <v>150</v>
      </c>
      <c r="B10" s="196" t="s">
        <v>14</v>
      </c>
      <c r="C10" s="115" t="s">
        <v>26</v>
      </c>
      <c r="D10" s="116">
        <v>115</v>
      </c>
      <c r="E10" s="116">
        <v>0</v>
      </c>
      <c r="F10" s="116">
        <f t="shared" si="0"/>
        <v>115</v>
      </c>
      <c r="G10" s="116">
        <v>0</v>
      </c>
      <c r="H10" s="116">
        <v>62.9</v>
      </c>
      <c r="I10" s="116">
        <v>0</v>
      </c>
      <c r="J10" s="152"/>
      <c r="K10" s="142"/>
      <c r="L10" s="116">
        <f t="shared" si="1"/>
        <v>177.9</v>
      </c>
      <c r="M10" s="118">
        <f t="shared" si="3"/>
        <v>0</v>
      </c>
      <c r="N10" s="118"/>
      <c r="O10" s="147">
        <f t="shared" si="2"/>
        <v>5918855.9000000004</v>
      </c>
      <c r="P10" s="147">
        <f>O10*11.99%</f>
        <v>709670.82241000014</v>
      </c>
      <c r="Q10" s="147">
        <f t="shared" si="6"/>
        <v>5209185.0775899999</v>
      </c>
      <c r="R10" s="143">
        <v>2</v>
      </c>
      <c r="S10" s="144"/>
      <c r="T10" s="143"/>
      <c r="U10" s="143"/>
      <c r="V10" s="143"/>
      <c r="W10" s="233"/>
      <c r="X10" s="230"/>
      <c r="Y10" s="227">
        <f t="shared" si="4"/>
        <v>33270.690837549184</v>
      </c>
      <c r="Z10" s="174">
        <v>260833</v>
      </c>
      <c r="AA10" s="137" t="s">
        <v>27</v>
      </c>
      <c r="AB10" s="221">
        <f t="shared" si="5"/>
        <v>5563724.5460000001</v>
      </c>
    </row>
    <row r="11" spans="1:267" s="30" customFormat="1" ht="16.5" hidden="1" customHeight="1" thickBot="1">
      <c r="A11" s="307" t="s">
        <v>150</v>
      </c>
      <c r="B11" s="307" t="s">
        <v>14</v>
      </c>
      <c r="C11" s="180" t="s">
        <v>28</v>
      </c>
      <c r="D11" s="32">
        <v>115</v>
      </c>
      <c r="E11" s="32">
        <v>0</v>
      </c>
      <c r="F11" s="32">
        <f t="shared" si="0"/>
        <v>115</v>
      </c>
      <c r="G11" s="32">
        <v>0</v>
      </c>
      <c r="H11" s="32">
        <v>0</v>
      </c>
      <c r="I11" s="32">
        <v>0</v>
      </c>
      <c r="J11" s="49">
        <v>77</v>
      </c>
      <c r="K11" s="181">
        <v>5.5</v>
      </c>
      <c r="L11" s="32">
        <f t="shared" si="1"/>
        <v>120.5</v>
      </c>
      <c r="M11" s="32">
        <f t="shared" si="3"/>
        <v>0</v>
      </c>
      <c r="N11" s="32"/>
      <c r="O11" s="182">
        <f t="shared" ref="O11:O18" si="8">SUM(D11*(1+M11)*($Z$5*$Z$11))+(E11*$Z$9)+(G11*($Z$5*$Z$11))+(H11*$Z$8)+(I11*$Z$7)+(K11*$Z$6)+($R11*$Z$10-$Z$10)+(27000)</f>
        <v>4568360.8</v>
      </c>
      <c r="P11" s="147">
        <f t="shared" si="7"/>
        <v>587948.03495999984</v>
      </c>
      <c r="Q11" s="147">
        <f t="shared" si="6"/>
        <v>3980412.76504</v>
      </c>
      <c r="R11" s="35">
        <v>2</v>
      </c>
      <c r="S11" s="35" t="s">
        <v>228</v>
      </c>
      <c r="T11" s="35" t="s">
        <v>242</v>
      </c>
      <c r="U11" s="35">
        <v>11</v>
      </c>
      <c r="V11" s="183">
        <v>43070</v>
      </c>
      <c r="W11" s="566" t="s">
        <v>141</v>
      </c>
      <c r="X11" s="64" t="s">
        <v>118</v>
      </c>
      <c r="Y11" s="228">
        <f t="shared" si="4"/>
        <v>39724.876521739126</v>
      </c>
      <c r="Z11" s="98">
        <v>1.01</v>
      </c>
      <c r="AA11" s="99" t="s">
        <v>106</v>
      </c>
      <c r="AB11" s="220">
        <f t="shared" si="5"/>
        <v>4294259.1519999998</v>
      </c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  <c r="IW11" s="26"/>
      <c r="IX11" s="26"/>
      <c r="IY11" s="26"/>
      <c r="IZ11" s="26"/>
      <c r="JA11" s="26"/>
      <c r="JB11" s="26"/>
      <c r="JC11" s="26"/>
      <c r="JD11" s="26"/>
      <c r="JE11" s="26"/>
      <c r="JF11" s="26"/>
      <c r="JG11" s="26"/>
    </row>
    <row r="12" spans="1:267" s="30" customFormat="1" ht="16.5" hidden="1" customHeight="1" thickBot="1">
      <c r="A12" s="206" t="s">
        <v>150</v>
      </c>
      <c r="B12" s="206" t="s">
        <v>16</v>
      </c>
      <c r="C12" s="177" t="s">
        <v>29</v>
      </c>
      <c r="D12" s="31">
        <v>83</v>
      </c>
      <c r="E12" s="31">
        <v>5</v>
      </c>
      <c r="F12" s="31">
        <f t="shared" si="0"/>
        <v>88</v>
      </c>
      <c r="G12" s="31">
        <v>0</v>
      </c>
      <c r="H12" s="31">
        <v>0</v>
      </c>
      <c r="I12" s="31">
        <v>0</v>
      </c>
      <c r="J12" s="50"/>
      <c r="K12" s="178"/>
      <c r="L12" s="31">
        <f t="shared" si="1"/>
        <v>88</v>
      </c>
      <c r="M12" s="32">
        <f t="shared" si="3"/>
        <v>0.14999999999999991</v>
      </c>
      <c r="N12" s="32"/>
      <c r="O12" s="182">
        <f t="shared" si="8"/>
        <v>3680344.8089999994</v>
      </c>
      <c r="P12" s="147">
        <f t="shared" si="7"/>
        <v>473660.37691829988</v>
      </c>
      <c r="Q12" s="147">
        <f t="shared" si="6"/>
        <v>3206684.4320816994</v>
      </c>
      <c r="R12" s="34">
        <v>1</v>
      </c>
      <c r="S12" s="185" t="s">
        <v>228</v>
      </c>
      <c r="T12" s="185" t="s">
        <v>177</v>
      </c>
      <c r="U12" s="185" t="s">
        <v>159</v>
      </c>
      <c r="V12" s="207">
        <v>42684</v>
      </c>
      <c r="W12" s="234" t="s">
        <v>124</v>
      </c>
      <c r="X12" s="243" t="s">
        <v>178</v>
      </c>
      <c r="Y12" s="228">
        <f t="shared" si="4"/>
        <v>41822.100102272721</v>
      </c>
      <c r="Z12" s="98">
        <v>1.0249999999999999</v>
      </c>
      <c r="AA12" s="99" t="s">
        <v>31</v>
      </c>
      <c r="AB12" s="220">
        <f t="shared" si="5"/>
        <v>3459524.1204599994</v>
      </c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  <c r="IW12" s="26"/>
      <c r="IX12" s="26"/>
      <c r="IY12" s="26"/>
      <c r="IZ12" s="26"/>
      <c r="JA12" s="26"/>
      <c r="JB12" s="26"/>
      <c r="JC12" s="26"/>
      <c r="JD12" s="26"/>
      <c r="JE12" s="26"/>
      <c r="JF12" s="26"/>
      <c r="JG12" s="26"/>
    </row>
    <row r="13" spans="1:267" s="138" customFormat="1" ht="16.5" hidden="1" customHeight="1" thickBot="1">
      <c r="A13" s="206" t="s">
        <v>150</v>
      </c>
      <c r="B13" s="206" t="s">
        <v>16</v>
      </c>
      <c r="C13" s="188" t="s">
        <v>30</v>
      </c>
      <c r="D13" s="191">
        <v>83</v>
      </c>
      <c r="E13" s="191">
        <v>5</v>
      </c>
      <c r="F13" s="191">
        <f t="shared" si="0"/>
        <v>88</v>
      </c>
      <c r="G13" s="191">
        <v>0</v>
      </c>
      <c r="H13" s="191">
        <v>0</v>
      </c>
      <c r="I13" s="191">
        <v>0</v>
      </c>
      <c r="J13" s="208">
        <v>226</v>
      </c>
      <c r="K13" s="186">
        <v>4</v>
      </c>
      <c r="L13" s="191">
        <f t="shared" si="1"/>
        <v>92</v>
      </c>
      <c r="M13" s="164">
        <f t="shared" si="3"/>
        <v>0.20999999999999991</v>
      </c>
      <c r="N13" s="164">
        <v>0.06</v>
      </c>
      <c r="O13" s="209">
        <f t="shared" si="8"/>
        <v>4194184.6685999995</v>
      </c>
      <c r="P13" s="147">
        <f t="shared" si="7"/>
        <v>539791.56684881984</v>
      </c>
      <c r="Q13" s="147">
        <f t="shared" si="6"/>
        <v>3654393.1017511794</v>
      </c>
      <c r="R13" s="285">
        <v>2</v>
      </c>
      <c r="S13" s="185" t="s">
        <v>228</v>
      </c>
      <c r="T13" s="185" t="s">
        <v>179</v>
      </c>
      <c r="U13" s="185" t="s">
        <v>159</v>
      </c>
      <c r="V13" s="207">
        <v>42653</v>
      </c>
      <c r="W13" s="235" t="s">
        <v>114</v>
      </c>
      <c r="X13" s="243" t="s">
        <v>119</v>
      </c>
      <c r="Y13" s="227">
        <f t="shared" si="4"/>
        <v>47661.189415909088</v>
      </c>
      <c r="Z13" s="136">
        <v>1.04</v>
      </c>
      <c r="AA13" s="137" t="s">
        <v>105</v>
      </c>
      <c r="AB13" s="221">
        <f t="shared" si="5"/>
        <v>3942533.5884839995</v>
      </c>
    </row>
    <row r="14" spans="1:267" s="138" customFormat="1" ht="16.5" hidden="1" customHeight="1" thickBot="1">
      <c r="A14" s="206" t="s">
        <v>150</v>
      </c>
      <c r="B14" s="206" t="s">
        <v>14</v>
      </c>
      <c r="C14" s="188" t="s">
        <v>32</v>
      </c>
      <c r="D14" s="191">
        <v>115</v>
      </c>
      <c r="E14" s="191">
        <v>0</v>
      </c>
      <c r="F14" s="191">
        <f t="shared" si="0"/>
        <v>115</v>
      </c>
      <c r="G14" s="191">
        <v>0</v>
      </c>
      <c r="H14" s="191">
        <v>0</v>
      </c>
      <c r="I14" s="191">
        <v>0</v>
      </c>
      <c r="J14" s="165"/>
      <c r="K14" s="186"/>
      <c r="L14" s="191">
        <f t="shared" si="1"/>
        <v>115</v>
      </c>
      <c r="M14" s="164">
        <f t="shared" si="3"/>
        <v>0</v>
      </c>
      <c r="N14" s="164"/>
      <c r="O14" s="209">
        <f t="shared" si="8"/>
        <v>4469465.3</v>
      </c>
      <c r="P14" s="147">
        <f t="shared" si="7"/>
        <v>575220.18410999991</v>
      </c>
      <c r="Q14" s="147">
        <f t="shared" si="6"/>
        <v>3894245.11589</v>
      </c>
      <c r="R14" s="184">
        <v>2</v>
      </c>
      <c r="S14" s="185" t="s">
        <v>228</v>
      </c>
      <c r="T14" s="185" t="s">
        <v>180</v>
      </c>
      <c r="U14" s="185" t="s">
        <v>159</v>
      </c>
      <c r="V14" s="207" t="s">
        <v>181</v>
      </c>
      <c r="W14" s="235" t="s">
        <v>124</v>
      </c>
      <c r="X14" s="243" t="s">
        <v>182</v>
      </c>
      <c r="Y14" s="227">
        <f t="shared" si="4"/>
        <v>38864.915652173913</v>
      </c>
      <c r="Z14" s="136">
        <v>1.085</v>
      </c>
      <c r="AA14" s="137" t="s">
        <v>33</v>
      </c>
      <c r="AB14" s="221">
        <f t="shared" si="5"/>
        <v>4201297.3819999993</v>
      </c>
    </row>
    <row r="15" spans="1:267" s="138" customFormat="1" ht="16.5" hidden="1" customHeight="1" thickBot="1">
      <c r="A15" s="206" t="s">
        <v>150</v>
      </c>
      <c r="B15" s="206" t="s">
        <v>14</v>
      </c>
      <c r="C15" s="188" t="s">
        <v>34</v>
      </c>
      <c r="D15" s="191">
        <v>115</v>
      </c>
      <c r="E15" s="191">
        <v>0</v>
      </c>
      <c r="F15" s="191">
        <f t="shared" si="0"/>
        <v>115</v>
      </c>
      <c r="G15" s="191">
        <v>0</v>
      </c>
      <c r="H15" s="191">
        <v>0</v>
      </c>
      <c r="I15" s="191">
        <v>0</v>
      </c>
      <c r="J15" s="208"/>
      <c r="K15" s="186"/>
      <c r="L15" s="191">
        <f t="shared" si="1"/>
        <v>115</v>
      </c>
      <c r="M15" s="164">
        <f t="shared" si="3"/>
        <v>0</v>
      </c>
      <c r="N15" s="164"/>
      <c r="O15" s="209">
        <f t="shared" si="8"/>
        <v>4469465.3</v>
      </c>
      <c r="P15" s="147">
        <f t="shared" si="7"/>
        <v>575220.18410999991</v>
      </c>
      <c r="Q15" s="147">
        <f t="shared" si="6"/>
        <v>3894245.11589</v>
      </c>
      <c r="R15" s="184">
        <v>2</v>
      </c>
      <c r="S15" s="34" t="s">
        <v>228</v>
      </c>
      <c r="T15" s="185" t="s">
        <v>183</v>
      </c>
      <c r="U15" s="185" t="s">
        <v>159</v>
      </c>
      <c r="V15" s="207" t="s">
        <v>181</v>
      </c>
      <c r="W15" s="236" t="s">
        <v>107</v>
      </c>
      <c r="X15" s="243" t="s">
        <v>182</v>
      </c>
      <c r="Y15" s="227">
        <f t="shared" si="4"/>
        <v>38864.915652173913</v>
      </c>
      <c r="Z15" s="136">
        <v>1.1499999999999999</v>
      </c>
      <c r="AA15" s="139" t="s">
        <v>100</v>
      </c>
      <c r="AB15" s="221">
        <f t="shared" si="5"/>
        <v>4201297.3819999993</v>
      </c>
    </row>
    <row r="16" spans="1:267" s="138" customFormat="1" ht="16.5" hidden="1" customHeight="1" thickBot="1">
      <c r="A16" s="206" t="s">
        <v>150</v>
      </c>
      <c r="B16" s="206" t="s">
        <v>16</v>
      </c>
      <c r="C16" s="188" t="s">
        <v>35</v>
      </c>
      <c r="D16" s="191">
        <v>83</v>
      </c>
      <c r="E16" s="191">
        <v>5</v>
      </c>
      <c r="F16" s="191">
        <f t="shared" si="0"/>
        <v>88</v>
      </c>
      <c r="G16" s="191">
        <v>0</v>
      </c>
      <c r="H16" s="191">
        <v>0</v>
      </c>
      <c r="I16" s="191">
        <v>0</v>
      </c>
      <c r="J16" s="208">
        <v>142</v>
      </c>
      <c r="K16" s="186">
        <v>6.3</v>
      </c>
      <c r="L16" s="191">
        <f t="shared" si="1"/>
        <v>94.3</v>
      </c>
      <c r="M16" s="164">
        <f t="shared" si="3"/>
        <v>0.20999999999999991</v>
      </c>
      <c r="N16" s="164">
        <v>0.06</v>
      </c>
      <c r="O16" s="209">
        <f t="shared" si="8"/>
        <v>3974707.9685999993</v>
      </c>
      <c r="P16" s="147">
        <f t="shared" si="7"/>
        <v>511544.91555881983</v>
      </c>
      <c r="Q16" s="147">
        <f t="shared" si="6"/>
        <v>3463163.0530411797</v>
      </c>
      <c r="R16" s="184">
        <v>1</v>
      </c>
      <c r="S16" s="34" t="s">
        <v>228</v>
      </c>
      <c r="T16" s="34" t="s">
        <v>185</v>
      </c>
      <c r="U16" s="34">
        <v>6</v>
      </c>
      <c r="V16" s="179">
        <v>42692</v>
      </c>
      <c r="W16" s="237" t="s">
        <v>107</v>
      </c>
      <c r="X16" s="41" t="s">
        <v>155</v>
      </c>
      <c r="Y16" s="227">
        <f t="shared" si="4"/>
        <v>45167.136006818175</v>
      </c>
      <c r="Z16" s="140"/>
      <c r="AA16" s="141"/>
      <c r="AB16" s="221">
        <f t="shared" si="5"/>
        <v>3736225.4904839993</v>
      </c>
    </row>
    <row r="17" spans="1:28" s="138" customFormat="1" ht="16.5" hidden="1" customHeight="1" thickBot="1">
      <c r="A17" s="206" t="s">
        <v>150</v>
      </c>
      <c r="B17" s="206" t="s">
        <v>16</v>
      </c>
      <c r="C17" s="188" t="s">
        <v>36</v>
      </c>
      <c r="D17" s="191">
        <v>83</v>
      </c>
      <c r="E17" s="191">
        <v>5</v>
      </c>
      <c r="F17" s="191">
        <f t="shared" si="0"/>
        <v>88</v>
      </c>
      <c r="G17" s="191">
        <v>0</v>
      </c>
      <c r="H17" s="191">
        <v>0</v>
      </c>
      <c r="I17" s="191">
        <v>0</v>
      </c>
      <c r="J17" s="165"/>
      <c r="K17" s="186"/>
      <c r="L17" s="191">
        <f t="shared" si="1"/>
        <v>88</v>
      </c>
      <c r="M17" s="164">
        <f t="shared" si="3"/>
        <v>0.14999999999999991</v>
      </c>
      <c r="N17" s="164"/>
      <c r="O17" s="209">
        <f t="shared" si="8"/>
        <v>3680344.8089999994</v>
      </c>
      <c r="P17" s="147">
        <f t="shared" si="7"/>
        <v>473660.37691829988</v>
      </c>
      <c r="Q17" s="147">
        <f t="shared" si="6"/>
        <v>3206684.4320816994</v>
      </c>
      <c r="R17" s="184">
        <v>1</v>
      </c>
      <c r="S17" s="184" t="s">
        <v>228</v>
      </c>
      <c r="T17" s="184" t="s">
        <v>199</v>
      </c>
      <c r="U17" s="184">
        <v>7</v>
      </c>
      <c r="V17" s="279">
        <v>42736</v>
      </c>
      <c r="W17" s="280" t="s">
        <v>236</v>
      </c>
      <c r="X17" s="281" t="s">
        <v>140</v>
      </c>
      <c r="Y17" s="227">
        <f t="shared" si="4"/>
        <v>41822.100102272721</v>
      </c>
      <c r="Z17" s="140"/>
      <c r="AA17" s="141"/>
      <c r="AB17" s="221">
        <f t="shared" si="5"/>
        <v>3459524.1204599994</v>
      </c>
    </row>
    <row r="18" spans="1:28" s="138" customFormat="1" ht="16.5" hidden="1" customHeight="1" thickBot="1">
      <c r="A18" s="206" t="s">
        <v>150</v>
      </c>
      <c r="B18" s="206" t="s">
        <v>14</v>
      </c>
      <c r="C18" s="153" t="s">
        <v>37</v>
      </c>
      <c r="D18" s="156">
        <v>115</v>
      </c>
      <c r="E18" s="156">
        <v>0</v>
      </c>
      <c r="F18" s="156">
        <f t="shared" si="0"/>
        <v>115</v>
      </c>
      <c r="G18" s="156">
        <v>0</v>
      </c>
      <c r="H18" s="156">
        <v>0</v>
      </c>
      <c r="I18" s="156">
        <v>0</v>
      </c>
      <c r="J18" s="208">
        <v>73</v>
      </c>
      <c r="K18" s="592">
        <v>6.2</v>
      </c>
      <c r="L18" s="156">
        <f t="shared" si="1"/>
        <v>121.2</v>
      </c>
      <c r="M18" s="164">
        <f t="shared" si="3"/>
        <v>0</v>
      </c>
      <c r="N18" s="164"/>
      <c r="O18" s="209">
        <f t="shared" si="8"/>
        <v>4580947.5</v>
      </c>
      <c r="P18" s="147">
        <f t="shared" si="7"/>
        <v>589567.94324999989</v>
      </c>
      <c r="Q18" s="147">
        <f t="shared" si="6"/>
        <v>3991379.55675</v>
      </c>
      <c r="R18" s="338">
        <v>2</v>
      </c>
      <c r="S18" s="338" t="s">
        <v>108</v>
      </c>
      <c r="T18" s="338" t="s">
        <v>298</v>
      </c>
      <c r="U18" s="338">
        <v>18</v>
      </c>
      <c r="V18" s="530">
        <v>43355</v>
      </c>
      <c r="W18" s="531" t="s">
        <v>124</v>
      </c>
      <c r="X18" s="281"/>
      <c r="Y18" s="227">
        <f t="shared" si="4"/>
        <v>39834.32608695652</v>
      </c>
      <c r="Z18" s="140"/>
      <c r="AA18" s="141"/>
      <c r="AB18" s="221">
        <f t="shared" si="5"/>
        <v>4306090.6499999994</v>
      </c>
    </row>
    <row r="19" spans="1:28" s="138" customFormat="1" ht="16.5" hidden="1" customHeight="1" thickBot="1">
      <c r="A19" s="206" t="s">
        <v>150</v>
      </c>
      <c r="B19" s="206" t="s">
        <v>14</v>
      </c>
      <c r="C19" s="161" t="s">
        <v>38</v>
      </c>
      <c r="D19" s="164">
        <v>115</v>
      </c>
      <c r="E19" s="164">
        <v>0</v>
      </c>
      <c r="F19" s="164">
        <f t="shared" si="0"/>
        <v>115</v>
      </c>
      <c r="G19" s="164">
        <v>0</v>
      </c>
      <c r="H19" s="164">
        <v>0</v>
      </c>
      <c r="I19" s="164">
        <v>0</v>
      </c>
      <c r="J19" s="208">
        <v>83</v>
      </c>
      <c r="K19" s="309">
        <v>6.2</v>
      </c>
      <c r="L19" s="164">
        <f t="shared" si="1"/>
        <v>121.2</v>
      </c>
      <c r="M19" s="164">
        <f t="shared" si="3"/>
        <v>0</v>
      </c>
      <c r="N19" s="164"/>
      <c r="O19" s="209">
        <f t="shared" ref="O19:O26" si="9">SUM(D19*(1+M19)*($Z$5*$Z$12))+(E19*$Z$9)+(G19*($Z$5*$Z$12))+(H19*$Z$8)+(I19*$Z$7)+(K19*$Z$6)+($R19*$Z$10-$Z$10)+(27000)</f>
        <v>4643050.9499999993</v>
      </c>
      <c r="P19" s="147">
        <f t="shared" si="7"/>
        <v>597560.65726499981</v>
      </c>
      <c r="Q19" s="147">
        <f t="shared" si="6"/>
        <v>4045490.2927349992</v>
      </c>
      <c r="R19" s="210">
        <v>2</v>
      </c>
      <c r="S19" s="210" t="s">
        <v>228</v>
      </c>
      <c r="T19" s="210" t="s">
        <v>235</v>
      </c>
      <c r="U19" s="210">
        <v>11</v>
      </c>
      <c r="V19" s="344">
        <v>43053</v>
      </c>
      <c r="W19" s="312" t="s">
        <v>114</v>
      </c>
      <c r="X19" s="281" t="s">
        <v>129</v>
      </c>
      <c r="Y19" s="227">
        <f t="shared" si="4"/>
        <v>40374.356086956512</v>
      </c>
      <c r="Z19" s="140"/>
      <c r="AA19" s="141"/>
      <c r="AB19" s="221">
        <f t="shared" si="5"/>
        <v>4364467.8929999992</v>
      </c>
    </row>
    <row r="20" spans="1:28" s="138" customFormat="1" ht="15.75" hidden="1" customHeight="1" thickBot="1">
      <c r="A20" s="206" t="s">
        <v>150</v>
      </c>
      <c r="B20" s="206" t="s">
        <v>16</v>
      </c>
      <c r="C20" s="188" t="s">
        <v>39</v>
      </c>
      <c r="D20" s="191">
        <v>83</v>
      </c>
      <c r="E20" s="191">
        <v>5</v>
      </c>
      <c r="F20" s="191">
        <f t="shared" si="0"/>
        <v>88</v>
      </c>
      <c r="G20" s="191">
        <v>0</v>
      </c>
      <c r="H20" s="191">
        <v>0</v>
      </c>
      <c r="I20" s="191">
        <v>0</v>
      </c>
      <c r="J20" s="165">
        <v>170</v>
      </c>
      <c r="K20" s="186">
        <v>2.5</v>
      </c>
      <c r="L20" s="191">
        <f t="shared" si="1"/>
        <v>90.5</v>
      </c>
      <c r="M20" s="164">
        <f t="shared" si="3"/>
        <v>0.14999999999999991</v>
      </c>
      <c r="N20" s="164"/>
      <c r="O20" s="209">
        <f t="shared" si="9"/>
        <v>3776843.1724999989</v>
      </c>
      <c r="P20" s="147">
        <f t="shared" si="7"/>
        <v>486079.7163007498</v>
      </c>
      <c r="Q20" s="147">
        <f t="shared" si="6"/>
        <v>3290763.4561992493</v>
      </c>
      <c r="R20" s="184">
        <v>1</v>
      </c>
      <c r="S20" s="184" t="s">
        <v>228</v>
      </c>
      <c r="T20" s="184" t="s">
        <v>276</v>
      </c>
      <c r="U20" s="184"/>
      <c r="V20" s="184"/>
      <c r="W20" s="280" t="s">
        <v>274</v>
      </c>
      <c r="X20" s="281"/>
      <c r="Y20" s="227">
        <f t="shared" si="4"/>
        <v>42918.672414772715</v>
      </c>
      <c r="Z20" s="140"/>
      <c r="AA20" s="141"/>
      <c r="AB20" s="221">
        <f t="shared" si="5"/>
        <v>3550232.5821499988</v>
      </c>
    </row>
    <row r="21" spans="1:28" s="138" customFormat="1" ht="15.75" hidden="1" customHeight="1" thickBot="1">
      <c r="A21" s="206" t="s">
        <v>150</v>
      </c>
      <c r="B21" s="206" t="s">
        <v>16</v>
      </c>
      <c r="C21" s="188" t="s">
        <v>40</v>
      </c>
      <c r="D21" s="191">
        <v>83</v>
      </c>
      <c r="E21" s="191">
        <v>5</v>
      </c>
      <c r="F21" s="191">
        <f t="shared" si="0"/>
        <v>88</v>
      </c>
      <c r="G21" s="191">
        <v>0</v>
      </c>
      <c r="H21" s="191">
        <v>0</v>
      </c>
      <c r="I21" s="191">
        <v>0</v>
      </c>
      <c r="J21" s="208">
        <v>144</v>
      </c>
      <c r="K21" s="186">
        <v>5.3</v>
      </c>
      <c r="L21" s="191">
        <f t="shared" si="1"/>
        <v>93.3</v>
      </c>
      <c r="M21" s="164">
        <f t="shared" si="3"/>
        <v>0.20999999999999991</v>
      </c>
      <c r="N21" s="164">
        <v>0.06</v>
      </c>
      <c r="O21" s="209">
        <f t="shared" si="9"/>
        <v>4010962.181499999</v>
      </c>
      <c r="P21" s="147">
        <f t="shared" si="7"/>
        <v>516210.83275904978</v>
      </c>
      <c r="Q21" s="147">
        <f t="shared" si="6"/>
        <v>3494751.3487409493</v>
      </c>
      <c r="R21" s="184">
        <v>1</v>
      </c>
      <c r="S21" s="185" t="s">
        <v>228</v>
      </c>
      <c r="T21" s="185" t="s">
        <v>186</v>
      </c>
      <c r="U21" s="185" t="s">
        <v>159</v>
      </c>
      <c r="V21" s="179" t="s">
        <v>181</v>
      </c>
      <c r="W21" s="238" t="s">
        <v>153</v>
      </c>
      <c r="X21" s="243" t="s">
        <v>140</v>
      </c>
      <c r="Y21" s="227">
        <f t="shared" si="4"/>
        <v>45579.115698863628</v>
      </c>
      <c r="Z21" s="140"/>
      <c r="AA21" s="141"/>
      <c r="AB21" s="221">
        <f t="shared" si="5"/>
        <v>3770304.4506099988</v>
      </c>
    </row>
    <row r="22" spans="1:28" s="138" customFormat="1" ht="15.75" hidden="1" customHeight="1" thickBot="1">
      <c r="A22" s="206" t="s">
        <v>150</v>
      </c>
      <c r="B22" s="206" t="s">
        <v>14</v>
      </c>
      <c r="C22" s="188" t="s">
        <v>41</v>
      </c>
      <c r="D22" s="124">
        <v>115</v>
      </c>
      <c r="E22" s="124">
        <v>0</v>
      </c>
      <c r="F22" s="191">
        <f t="shared" si="0"/>
        <v>115</v>
      </c>
      <c r="G22" s="191">
        <v>0</v>
      </c>
      <c r="H22" s="191">
        <v>0</v>
      </c>
      <c r="I22" s="191">
        <v>0</v>
      </c>
      <c r="J22" s="208">
        <v>86</v>
      </c>
      <c r="K22" s="299">
        <v>5</v>
      </c>
      <c r="L22" s="191">
        <f t="shared" si="1"/>
        <v>120</v>
      </c>
      <c r="M22" s="164">
        <f t="shared" si="3"/>
        <v>0</v>
      </c>
      <c r="N22" s="164"/>
      <c r="O22" s="209">
        <f t="shared" si="9"/>
        <v>4621473.7499999991</v>
      </c>
      <c r="P22" s="147">
        <f t="shared" si="7"/>
        <v>594783.67162499984</v>
      </c>
      <c r="Q22" s="147">
        <f t="shared" si="6"/>
        <v>4026690.0783749991</v>
      </c>
      <c r="R22" s="184">
        <v>2</v>
      </c>
      <c r="S22" s="184" t="s">
        <v>228</v>
      </c>
      <c r="T22" s="184" t="s">
        <v>237</v>
      </c>
      <c r="U22" s="184">
        <v>11</v>
      </c>
      <c r="V22" s="279">
        <v>42989</v>
      </c>
      <c r="W22" s="280" t="s">
        <v>107</v>
      </c>
      <c r="X22" s="281" t="s">
        <v>119</v>
      </c>
      <c r="Y22" s="227">
        <f t="shared" si="4"/>
        <v>40186.72826086956</v>
      </c>
      <c r="Z22" s="140"/>
      <c r="AA22" s="141"/>
      <c r="AB22" s="221">
        <f t="shared" si="5"/>
        <v>4344185.3249999993</v>
      </c>
    </row>
    <row r="23" spans="1:28" s="138" customFormat="1" ht="15.75" hidden="1" customHeight="1" thickBot="1">
      <c r="A23" s="206" t="s">
        <v>150</v>
      </c>
      <c r="B23" s="206" t="s">
        <v>14</v>
      </c>
      <c r="C23" s="188" t="s">
        <v>42</v>
      </c>
      <c r="D23" s="191">
        <v>115</v>
      </c>
      <c r="E23" s="191">
        <v>0</v>
      </c>
      <c r="F23" s="191">
        <f t="shared" si="0"/>
        <v>115</v>
      </c>
      <c r="G23" s="191">
        <v>0</v>
      </c>
      <c r="H23" s="191">
        <v>0</v>
      </c>
      <c r="I23" s="191">
        <v>0</v>
      </c>
      <c r="J23" s="165">
        <v>87</v>
      </c>
      <c r="K23" s="299">
        <v>5</v>
      </c>
      <c r="L23" s="191">
        <f t="shared" si="1"/>
        <v>120</v>
      </c>
      <c r="M23" s="164">
        <f t="shared" si="3"/>
        <v>0</v>
      </c>
      <c r="N23" s="164"/>
      <c r="O23" s="209">
        <f t="shared" si="9"/>
        <v>4621473.7499999991</v>
      </c>
      <c r="P23" s="147">
        <f t="shared" si="7"/>
        <v>594783.67162499984</v>
      </c>
      <c r="Q23" s="147">
        <f t="shared" si="6"/>
        <v>4026690.0783749991</v>
      </c>
      <c r="R23" s="184">
        <v>2</v>
      </c>
      <c r="S23" s="184" t="s">
        <v>228</v>
      </c>
      <c r="T23" s="184" t="s">
        <v>183</v>
      </c>
      <c r="U23" s="184">
        <v>8</v>
      </c>
      <c r="V23" s="279">
        <v>42887</v>
      </c>
      <c r="W23" s="280" t="s">
        <v>107</v>
      </c>
      <c r="X23" s="282" t="s">
        <v>140</v>
      </c>
      <c r="Y23" s="227">
        <f t="shared" si="4"/>
        <v>40186.72826086956</v>
      </c>
      <c r="Z23" s="140"/>
      <c r="AA23" s="141"/>
      <c r="AB23" s="221">
        <f t="shared" si="5"/>
        <v>4344185.3249999993</v>
      </c>
    </row>
    <row r="24" spans="1:28" s="138" customFormat="1" ht="15.75" hidden="1" customHeight="1" thickBot="1">
      <c r="A24" s="206" t="s">
        <v>150</v>
      </c>
      <c r="B24" s="206" t="s">
        <v>16</v>
      </c>
      <c r="C24" s="188" t="s">
        <v>43</v>
      </c>
      <c r="D24" s="191">
        <v>83</v>
      </c>
      <c r="E24" s="191">
        <v>5</v>
      </c>
      <c r="F24" s="191">
        <f t="shared" si="0"/>
        <v>88</v>
      </c>
      <c r="G24" s="191">
        <v>0</v>
      </c>
      <c r="H24" s="191">
        <v>0</v>
      </c>
      <c r="I24" s="191">
        <v>0</v>
      </c>
      <c r="J24" s="290" t="s">
        <v>204</v>
      </c>
      <c r="K24" s="186"/>
      <c r="L24" s="191">
        <f t="shared" si="1"/>
        <v>88</v>
      </c>
      <c r="M24" s="164">
        <f t="shared" si="3"/>
        <v>0.20999999999999991</v>
      </c>
      <c r="N24" s="164">
        <v>0.06</v>
      </c>
      <c r="O24" s="209">
        <f t="shared" si="9"/>
        <v>4437328.8814999992</v>
      </c>
      <c r="P24" s="147">
        <f t="shared" si="7"/>
        <v>571084.2270490498</v>
      </c>
      <c r="Q24" s="147">
        <f t="shared" si="6"/>
        <v>3866244.6544509493</v>
      </c>
      <c r="R24" s="285">
        <v>3</v>
      </c>
      <c r="S24" s="34" t="s">
        <v>228</v>
      </c>
      <c r="T24" s="34" t="s">
        <v>200</v>
      </c>
      <c r="U24" s="34">
        <v>6</v>
      </c>
      <c r="V24" s="69">
        <v>42727</v>
      </c>
      <c r="W24" s="269" t="s">
        <v>124</v>
      </c>
      <c r="X24" s="41" t="s">
        <v>187</v>
      </c>
      <c r="Y24" s="227">
        <f t="shared" si="4"/>
        <v>50424.191835227262</v>
      </c>
      <c r="Z24" s="140"/>
      <c r="AA24" s="141"/>
      <c r="AB24" s="221">
        <f t="shared" si="5"/>
        <v>4171089.1486099991</v>
      </c>
    </row>
    <row r="25" spans="1:28" s="138" customFormat="1" ht="15.75" hidden="1" customHeight="1" thickBot="1">
      <c r="A25" s="206" t="s">
        <v>150</v>
      </c>
      <c r="B25" s="206" t="s">
        <v>16</v>
      </c>
      <c r="C25" s="188" t="s">
        <v>44</v>
      </c>
      <c r="D25" s="191">
        <v>83</v>
      </c>
      <c r="E25" s="191">
        <v>5</v>
      </c>
      <c r="F25" s="191">
        <f t="shared" si="0"/>
        <v>88</v>
      </c>
      <c r="G25" s="191">
        <v>0</v>
      </c>
      <c r="H25" s="191">
        <v>0</v>
      </c>
      <c r="I25" s="191">
        <v>0</v>
      </c>
      <c r="J25" s="208">
        <v>171</v>
      </c>
      <c r="K25" s="186">
        <v>3.1</v>
      </c>
      <c r="L25" s="191">
        <f t="shared" si="1"/>
        <v>91.1</v>
      </c>
      <c r="M25" s="164">
        <f t="shared" si="3"/>
        <v>0.14999999999999991</v>
      </c>
      <c r="N25" s="164"/>
      <c r="O25" s="209">
        <f t="shared" si="9"/>
        <v>3787631.772499999</v>
      </c>
      <c r="P25" s="147">
        <f t="shared" si="7"/>
        <v>487468.20912074979</v>
      </c>
      <c r="Q25" s="147">
        <f t="shared" si="6"/>
        <v>3300163.5633792491</v>
      </c>
      <c r="R25" s="184">
        <v>1</v>
      </c>
      <c r="S25" s="184" t="s">
        <v>228</v>
      </c>
      <c r="T25" s="184" t="s">
        <v>215</v>
      </c>
      <c r="U25" s="184">
        <v>8</v>
      </c>
      <c r="V25" s="339">
        <v>42853</v>
      </c>
      <c r="W25" s="280" t="s">
        <v>114</v>
      </c>
      <c r="X25" s="281" t="s">
        <v>140</v>
      </c>
      <c r="Y25" s="227">
        <f t="shared" si="4"/>
        <v>43041.270142045447</v>
      </c>
      <c r="Z25" s="140"/>
      <c r="AA25" s="141"/>
      <c r="AB25" s="221">
        <f t="shared" si="5"/>
        <v>3560373.8661499987</v>
      </c>
    </row>
    <row r="26" spans="1:28" s="138" customFormat="1" ht="16.5" hidden="1" customHeight="1" thickBot="1">
      <c r="A26" s="206" t="s">
        <v>150</v>
      </c>
      <c r="B26" s="206" t="s">
        <v>14</v>
      </c>
      <c r="C26" s="153" t="s">
        <v>45</v>
      </c>
      <c r="D26" s="156">
        <v>115</v>
      </c>
      <c r="E26" s="156">
        <v>0</v>
      </c>
      <c r="F26" s="156">
        <f t="shared" si="0"/>
        <v>115</v>
      </c>
      <c r="G26" s="156">
        <v>0</v>
      </c>
      <c r="H26" s="156">
        <v>0</v>
      </c>
      <c r="I26" s="156">
        <v>0</v>
      </c>
      <c r="J26" s="165">
        <v>88</v>
      </c>
      <c r="K26" s="337">
        <v>5</v>
      </c>
      <c r="L26" s="156">
        <f t="shared" si="1"/>
        <v>120</v>
      </c>
      <c r="M26" s="164">
        <f t="shared" si="3"/>
        <v>0</v>
      </c>
      <c r="N26" s="164"/>
      <c r="O26" s="209">
        <f t="shared" si="9"/>
        <v>4621473.7499999991</v>
      </c>
      <c r="P26" s="147">
        <f t="shared" si="7"/>
        <v>594783.67162499984</v>
      </c>
      <c r="Q26" s="147">
        <f t="shared" si="6"/>
        <v>4026690.0783749991</v>
      </c>
      <c r="R26" s="338">
        <v>2</v>
      </c>
      <c r="S26" s="338" t="s">
        <v>228</v>
      </c>
      <c r="T26" s="338" t="s">
        <v>238</v>
      </c>
      <c r="U26" s="338">
        <v>11</v>
      </c>
      <c r="V26" s="530">
        <v>43070</v>
      </c>
      <c r="W26" s="531" t="s">
        <v>107</v>
      </c>
      <c r="X26" s="282" t="s">
        <v>118</v>
      </c>
      <c r="Y26" s="227">
        <f t="shared" si="4"/>
        <v>40186.72826086956</v>
      </c>
      <c r="Z26" s="140"/>
      <c r="AA26" s="141"/>
      <c r="AB26" s="221">
        <f t="shared" si="5"/>
        <v>4344185.3249999993</v>
      </c>
    </row>
    <row r="27" spans="1:28" s="138" customFormat="1" ht="15.75" hidden="1" customHeight="1" thickBot="1">
      <c r="A27" s="206" t="s">
        <v>150</v>
      </c>
      <c r="B27" s="206" t="s">
        <v>14</v>
      </c>
      <c r="C27" s="161" t="s">
        <v>46</v>
      </c>
      <c r="D27" s="164">
        <v>115</v>
      </c>
      <c r="E27" s="164">
        <v>0</v>
      </c>
      <c r="F27" s="164">
        <f t="shared" si="0"/>
        <v>115</v>
      </c>
      <c r="G27" s="164">
        <v>0</v>
      </c>
      <c r="H27" s="164">
        <v>0</v>
      </c>
      <c r="I27" s="164">
        <v>0</v>
      </c>
      <c r="J27" s="165">
        <v>89</v>
      </c>
      <c r="K27" s="289">
        <v>5</v>
      </c>
      <c r="L27" s="164">
        <f t="shared" si="1"/>
        <v>120</v>
      </c>
      <c r="M27" s="164">
        <f t="shared" si="3"/>
        <v>0</v>
      </c>
      <c r="N27" s="164"/>
      <c r="O27" s="209">
        <f t="shared" ref="O27:O34" si="10">SUM(D27*(1+M27)*($Z$5*$Z$13))+(E27*$Z$9)+(G27*($Z$5*$Z$13))+(H27*$Z$8)+(I27*$Z$7)+(K27*$Z$6)+($R27*$Z$10-$Z$10)+(27000)</f>
        <v>4683577.2</v>
      </c>
      <c r="P27" s="147">
        <f t="shared" si="7"/>
        <v>602776.38563999999</v>
      </c>
      <c r="Q27" s="147">
        <f t="shared" si="6"/>
        <v>4080800.8143600002</v>
      </c>
      <c r="R27" s="210">
        <v>2</v>
      </c>
      <c r="S27" s="210" t="s">
        <v>228</v>
      </c>
      <c r="T27" s="210" t="s">
        <v>295</v>
      </c>
      <c r="U27" s="210"/>
      <c r="V27" s="344"/>
      <c r="W27" s="312" t="s">
        <v>124</v>
      </c>
      <c r="X27" s="282" t="s">
        <v>296</v>
      </c>
      <c r="Y27" s="227">
        <f t="shared" si="4"/>
        <v>40726.758260869567</v>
      </c>
      <c r="Z27" s="140"/>
      <c r="AA27" s="141"/>
      <c r="AB27" s="221">
        <f t="shared" si="5"/>
        <v>4402562.568</v>
      </c>
    </row>
    <row r="28" spans="1:28" s="138" customFormat="1" ht="15.75" hidden="1" customHeight="1" thickBot="1">
      <c r="A28" s="206" t="s">
        <v>150</v>
      </c>
      <c r="B28" s="206" t="s">
        <v>16</v>
      </c>
      <c r="C28" s="188" t="s">
        <v>47</v>
      </c>
      <c r="D28" s="191">
        <v>83</v>
      </c>
      <c r="E28" s="191">
        <v>5</v>
      </c>
      <c r="F28" s="191">
        <f t="shared" si="0"/>
        <v>88</v>
      </c>
      <c r="G28" s="191">
        <v>0</v>
      </c>
      <c r="H28" s="191">
        <v>0</v>
      </c>
      <c r="I28" s="191">
        <v>0</v>
      </c>
      <c r="J28" s="208">
        <v>172</v>
      </c>
      <c r="K28" s="186">
        <v>3.1</v>
      </c>
      <c r="L28" s="191">
        <f t="shared" si="1"/>
        <v>91.1</v>
      </c>
      <c r="M28" s="164">
        <f t="shared" si="3"/>
        <v>0.20999999999999991</v>
      </c>
      <c r="N28" s="164">
        <v>0.06</v>
      </c>
      <c r="O28" s="209">
        <f t="shared" si="10"/>
        <v>4286472.1943999995</v>
      </c>
      <c r="P28" s="147">
        <f t="shared" si="7"/>
        <v>551668.97141927981</v>
      </c>
      <c r="Q28" s="147">
        <f t="shared" si="6"/>
        <v>3734803.2229807195</v>
      </c>
      <c r="R28" s="184">
        <v>2</v>
      </c>
      <c r="S28" s="184" t="s">
        <v>228</v>
      </c>
      <c r="T28" s="184" t="s">
        <v>209</v>
      </c>
      <c r="U28" s="184"/>
      <c r="V28" s="184"/>
      <c r="W28" s="280" t="s">
        <v>141</v>
      </c>
      <c r="X28" s="282" t="s">
        <v>122</v>
      </c>
      <c r="Y28" s="227">
        <f t="shared" si="4"/>
        <v>48709.911299999992</v>
      </c>
      <c r="Z28" s="140"/>
      <c r="AA28" s="141"/>
      <c r="AB28" s="221">
        <f t="shared" si="5"/>
        <v>4029283.8627359993</v>
      </c>
    </row>
    <row r="29" spans="1:28" s="138" customFormat="1" ht="15.75" hidden="1" customHeight="1" thickBot="1">
      <c r="A29" s="206" t="s">
        <v>150</v>
      </c>
      <c r="B29" s="206" t="s">
        <v>16</v>
      </c>
      <c r="C29" s="188" t="s">
        <v>48</v>
      </c>
      <c r="D29" s="191">
        <v>83</v>
      </c>
      <c r="E29" s="191">
        <v>5</v>
      </c>
      <c r="F29" s="191">
        <f t="shared" si="0"/>
        <v>88</v>
      </c>
      <c r="G29" s="191">
        <v>0</v>
      </c>
      <c r="H29" s="191">
        <v>0</v>
      </c>
      <c r="I29" s="191">
        <v>0</v>
      </c>
      <c r="J29" s="208">
        <v>398</v>
      </c>
      <c r="K29" s="186">
        <v>3</v>
      </c>
      <c r="L29" s="191">
        <f t="shared" si="1"/>
        <v>91</v>
      </c>
      <c r="M29" s="164">
        <f t="shared" si="3"/>
        <v>0.20999999999999991</v>
      </c>
      <c r="N29" s="164">
        <v>0.06</v>
      </c>
      <c r="O29" s="209">
        <f t="shared" si="10"/>
        <v>4284674.0943999998</v>
      </c>
      <c r="P29" s="147">
        <f t="shared" si="7"/>
        <v>551437.55594927992</v>
      </c>
      <c r="Q29" s="147">
        <f t="shared" si="6"/>
        <v>3733236.5384507198</v>
      </c>
      <c r="R29" s="184">
        <v>2</v>
      </c>
      <c r="S29" s="184" t="s">
        <v>228</v>
      </c>
      <c r="T29" s="184" t="s">
        <v>201</v>
      </c>
      <c r="U29" s="184"/>
      <c r="V29" s="279">
        <v>42736</v>
      </c>
      <c r="W29" s="280" t="s">
        <v>243</v>
      </c>
      <c r="X29" s="282" t="s">
        <v>140</v>
      </c>
      <c r="Y29" s="227">
        <f t="shared" si="4"/>
        <v>48689.478345454547</v>
      </c>
      <c r="Z29" s="140"/>
      <c r="AA29" s="141"/>
      <c r="AB29" s="221">
        <f t="shared" si="5"/>
        <v>4027593.6487359996</v>
      </c>
    </row>
    <row r="30" spans="1:28" s="138" customFormat="1" ht="15.75" hidden="1" customHeight="1" thickBot="1">
      <c r="A30" s="206" t="s">
        <v>150</v>
      </c>
      <c r="B30" s="206" t="s">
        <v>14</v>
      </c>
      <c r="C30" s="188" t="s">
        <v>49</v>
      </c>
      <c r="D30" s="191">
        <v>115</v>
      </c>
      <c r="E30" s="191">
        <v>0</v>
      </c>
      <c r="F30" s="191">
        <f t="shared" si="0"/>
        <v>115</v>
      </c>
      <c r="G30" s="191">
        <v>0</v>
      </c>
      <c r="H30" s="191">
        <v>0</v>
      </c>
      <c r="I30" s="191">
        <v>0</v>
      </c>
      <c r="J30" s="208">
        <v>90</v>
      </c>
      <c r="K30" s="299">
        <v>5</v>
      </c>
      <c r="L30" s="191">
        <f t="shared" si="1"/>
        <v>120</v>
      </c>
      <c r="M30" s="164">
        <f t="shared" si="3"/>
        <v>0</v>
      </c>
      <c r="N30" s="164"/>
      <c r="O30" s="209">
        <f t="shared" si="10"/>
        <v>4944410.2</v>
      </c>
      <c r="P30" s="147">
        <f t="shared" si="7"/>
        <v>636345.59273999988</v>
      </c>
      <c r="Q30" s="147">
        <f t="shared" si="6"/>
        <v>4308064.60726</v>
      </c>
      <c r="R30" s="285">
        <v>3</v>
      </c>
      <c r="S30" s="184" t="s">
        <v>228</v>
      </c>
      <c r="T30" s="184" t="s">
        <v>219</v>
      </c>
      <c r="U30" s="184">
        <v>8</v>
      </c>
      <c r="V30" s="279">
        <v>42887</v>
      </c>
      <c r="W30" s="280" t="s">
        <v>114</v>
      </c>
      <c r="X30" s="282" t="s">
        <v>119</v>
      </c>
      <c r="Y30" s="227">
        <f t="shared" si="4"/>
        <v>42994.871304347827</v>
      </c>
      <c r="Z30" s="140"/>
      <c r="AA30" s="141"/>
      <c r="AB30" s="221">
        <f t="shared" si="5"/>
        <v>4647745.5879999995</v>
      </c>
    </row>
    <row r="31" spans="1:28" s="138" customFormat="1" ht="15.75" hidden="1" customHeight="1" thickBot="1">
      <c r="A31" s="206" t="s">
        <v>150</v>
      </c>
      <c r="B31" s="206" t="s">
        <v>14</v>
      </c>
      <c r="C31" s="188" t="s">
        <v>50</v>
      </c>
      <c r="D31" s="191">
        <v>115</v>
      </c>
      <c r="E31" s="191">
        <v>0</v>
      </c>
      <c r="F31" s="191">
        <f t="shared" si="0"/>
        <v>115</v>
      </c>
      <c r="G31" s="191">
        <v>0</v>
      </c>
      <c r="H31" s="191">
        <v>0</v>
      </c>
      <c r="I31" s="191">
        <v>0</v>
      </c>
      <c r="J31" s="208">
        <v>91</v>
      </c>
      <c r="K31" s="299">
        <v>5</v>
      </c>
      <c r="L31" s="191">
        <f t="shared" si="1"/>
        <v>120</v>
      </c>
      <c r="M31" s="164">
        <f t="shared" si="3"/>
        <v>0</v>
      </c>
      <c r="N31" s="164"/>
      <c r="O31" s="209">
        <f t="shared" si="10"/>
        <v>4683577.2</v>
      </c>
      <c r="P31" s="147">
        <f t="shared" si="7"/>
        <v>602776.38563999999</v>
      </c>
      <c r="Q31" s="147">
        <f t="shared" si="6"/>
        <v>4080800.8143600002</v>
      </c>
      <c r="R31" s="184">
        <v>2</v>
      </c>
      <c r="S31" s="184" t="s">
        <v>228</v>
      </c>
      <c r="T31" s="184" t="s">
        <v>244</v>
      </c>
      <c r="U31" s="184">
        <v>11</v>
      </c>
      <c r="V31" s="279">
        <v>43009</v>
      </c>
      <c r="W31" s="280" t="s">
        <v>141</v>
      </c>
      <c r="X31" s="282" t="s">
        <v>119</v>
      </c>
      <c r="Y31" s="227">
        <f t="shared" si="4"/>
        <v>40726.758260869567</v>
      </c>
      <c r="Z31" s="140"/>
      <c r="AA31" s="141"/>
      <c r="AB31" s="221">
        <f t="shared" si="5"/>
        <v>4402562.568</v>
      </c>
    </row>
    <row r="32" spans="1:28" s="138" customFormat="1" ht="15.75" hidden="1" customHeight="1" thickBot="1">
      <c r="A32" s="206" t="s">
        <v>150</v>
      </c>
      <c r="B32" s="206" t="s">
        <v>16</v>
      </c>
      <c r="C32" s="188" t="s">
        <v>51</v>
      </c>
      <c r="D32" s="191">
        <v>83</v>
      </c>
      <c r="E32" s="191">
        <v>5</v>
      </c>
      <c r="F32" s="191">
        <f t="shared" si="0"/>
        <v>88</v>
      </c>
      <c r="G32" s="191">
        <v>0</v>
      </c>
      <c r="H32" s="191">
        <v>0</v>
      </c>
      <c r="I32" s="191">
        <v>0</v>
      </c>
      <c r="J32" s="208">
        <v>69</v>
      </c>
      <c r="K32" s="186">
        <v>6.2</v>
      </c>
      <c r="L32" s="191">
        <f t="shared" si="1"/>
        <v>94.2</v>
      </c>
      <c r="M32" s="164">
        <f t="shared" si="3"/>
        <v>0.20999999999999991</v>
      </c>
      <c r="N32" s="164">
        <v>0.06</v>
      </c>
      <c r="O32" s="209">
        <f t="shared" si="10"/>
        <v>4081380.2944</v>
      </c>
      <c r="P32" s="147">
        <f t="shared" si="7"/>
        <v>525273.64388927992</v>
      </c>
      <c r="Q32" s="147">
        <f t="shared" si="6"/>
        <v>3556106.65051072</v>
      </c>
      <c r="R32" s="184">
        <v>1</v>
      </c>
      <c r="S32" s="34" t="s">
        <v>228</v>
      </c>
      <c r="T32" s="34" t="s">
        <v>188</v>
      </c>
      <c r="U32" s="34">
        <v>6</v>
      </c>
      <c r="V32" s="69">
        <v>42727</v>
      </c>
      <c r="W32" s="269" t="s">
        <v>124</v>
      </c>
      <c r="X32" s="41" t="s">
        <v>140</v>
      </c>
      <c r="Y32" s="227">
        <f t="shared" si="4"/>
        <v>46379.321527272725</v>
      </c>
      <c r="Z32" s="140"/>
      <c r="AA32" s="141"/>
      <c r="AB32" s="221">
        <f t="shared" si="5"/>
        <v>3836497.4767359998</v>
      </c>
    </row>
    <row r="33" spans="1:31" s="138" customFormat="1" ht="15.75" hidden="1" customHeight="1" thickBot="1">
      <c r="A33" s="206" t="s">
        <v>150</v>
      </c>
      <c r="B33" s="206" t="s">
        <v>16</v>
      </c>
      <c r="C33" s="188" t="s">
        <v>52</v>
      </c>
      <c r="D33" s="191">
        <v>83</v>
      </c>
      <c r="E33" s="191">
        <v>5</v>
      </c>
      <c r="F33" s="191">
        <f t="shared" si="0"/>
        <v>88</v>
      </c>
      <c r="G33" s="191">
        <v>0</v>
      </c>
      <c r="H33" s="191">
        <v>0</v>
      </c>
      <c r="I33" s="191">
        <v>0</v>
      </c>
      <c r="J33" s="208"/>
      <c r="K33" s="186"/>
      <c r="L33" s="191">
        <f t="shared" si="1"/>
        <v>88</v>
      </c>
      <c r="M33" s="164">
        <f t="shared" si="3"/>
        <v>0.20999999999999991</v>
      </c>
      <c r="N33" s="164">
        <v>0.06</v>
      </c>
      <c r="O33" s="209">
        <f t="shared" si="10"/>
        <v>4230731.0943999998</v>
      </c>
      <c r="P33" s="147">
        <f t="shared" si="7"/>
        <v>544495.09184927994</v>
      </c>
      <c r="Q33" s="147">
        <f t="shared" si="6"/>
        <v>3686236.0025507198</v>
      </c>
      <c r="R33" s="184">
        <v>2</v>
      </c>
      <c r="S33" s="34" t="s">
        <v>228</v>
      </c>
      <c r="T33" s="34" t="s">
        <v>189</v>
      </c>
      <c r="U33" s="34">
        <v>6</v>
      </c>
      <c r="V33" s="69">
        <v>42738</v>
      </c>
      <c r="W33" s="269" t="s">
        <v>141</v>
      </c>
      <c r="X33" s="41" t="s">
        <v>119</v>
      </c>
      <c r="Y33" s="227">
        <f t="shared" si="4"/>
        <v>48076.489709090907</v>
      </c>
      <c r="Z33" s="140"/>
      <c r="AA33" s="141"/>
      <c r="AB33" s="221">
        <f t="shared" si="5"/>
        <v>3976887.2287359997</v>
      </c>
    </row>
    <row r="34" spans="1:31" s="138" customFormat="1" ht="16.5" hidden="1" customHeight="1" thickBot="1">
      <c r="A34" s="206" t="s">
        <v>150</v>
      </c>
      <c r="B34" s="206" t="s">
        <v>14</v>
      </c>
      <c r="C34" s="153" t="s">
        <v>53</v>
      </c>
      <c r="D34" s="156">
        <v>115</v>
      </c>
      <c r="E34" s="156">
        <v>0</v>
      </c>
      <c r="F34" s="156">
        <f t="shared" si="0"/>
        <v>115</v>
      </c>
      <c r="G34" s="156">
        <v>0</v>
      </c>
      <c r="H34" s="156">
        <v>0</v>
      </c>
      <c r="I34" s="156">
        <v>0</v>
      </c>
      <c r="J34" s="208">
        <v>92</v>
      </c>
      <c r="K34" s="337">
        <v>5</v>
      </c>
      <c r="L34" s="156">
        <f t="shared" si="1"/>
        <v>120</v>
      </c>
      <c r="M34" s="164">
        <f t="shared" si="3"/>
        <v>0</v>
      </c>
      <c r="N34" s="164"/>
      <c r="O34" s="209">
        <f t="shared" si="10"/>
        <v>4683577.2</v>
      </c>
      <c r="P34" s="147">
        <f t="shared" si="7"/>
        <v>602776.38563999999</v>
      </c>
      <c r="Q34" s="147">
        <f t="shared" si="6"/>
        <v>4080800.8143600002</v>
      </c>
      <c r="R34" s="338">
        <v>2</v>
      </c>
      <c r="S34" s="48" t="s">
        <v>228</v>
      </c>
      <c r="T34" s="48" t="s">
        <v>300</v>
      </c>
      <c r="U34" s="48">
        <v>10</v>
      </c>
      <c r="V34" s="69">
        <v>42970</v>
      </c>
      <c r="W34" s="347" t="s">
        <v>107</v>
      </c>
      <c r="X34" s="41" t="s">
        <v>119</v>
      </c>
      <c r="Y34" s="227">
        <f t="shared" si="4"/>
        <v>40726.758260869567</v>
      </c>
      <c r="Z34" s="140"/>
      <c r="AA34" s="141"/>
      <c r="AB34" s="221">
        <f t="shared" si="5"/>
        <v>4402562.568</v>
      </c>
    </row>
    <row r="35" spans="1:31" s="138" customFormat="1" ht="15.75" hidden="1" customHeight="1" thickBot="1">
      <c r="A35" s="206" t="s">
        <v>150</v>
      </c>
      <c r="B35" s="206" t="s">
        <v>14</v>
      </c>
      <c r="C35" s="210" t="s">
        <v>54</v>
      </c>
      <c r="D35" s="164">
        <v>115</v>
      </c>
      <c r="E35" s="164">
        <v>0</v>
      </c>
      <c r="F35" s="164">
        <f t="shared" si="0"/>
        <v>115</v>
      </c>
      <c r="G35" s="164">
        <v>0</v>
      </c>
      <c r="H35" s="164">
        <v>0</v>
      </c>
      <c r="I35" s="164">
        <v>99</v>
      </c>
      <c r="J35" s="165">
        <v>93</v>
      </c>
      <c r="K35" s="289">
        <v>5</v>
      </c>
      <c r="L35" s="164">
        <f t="shared" si="1"/>
        <v>219</v>
      </c>
      <c r="M35" s="164">
        <f t="shared" si="3"/>
        <v>0</v>
      </c>
      <c r="N35" s="164"/>
      <c r="O35" s="209">
        <f t="shared" ref="O35:O42" si="11">SUM(D35*(1+M35)*($Z$5*$Z$14))+(E35*$Z$9)+(G35*($Z$5*$Z$14))+(H35*$Z$8)+(I35*$Z$7)+(K35*$Z$6)+($R35*$Z$10-$Z$10)+(27000)</f>
        <v>6222524.5499999998</v>
      </c>
      <c r="P35" s="147">
        <f t="shared" si="7"/>
        <v>800838.9095849999</v>
      </c>
      <c r="Q35" s="147">
        <f t="shared" si="6"/>
        <v>5421685.6404149998</v>
      </c>
      <c r="R35" s="210">
        <v>2</v>
      </c>
      <c r="S35" s="35" t="s">
        <v>228</v>
      </c>
      <c r="T35" s="35" t="s">
        <v>190</v>
      </c>
      <c r="U35" s="35">
        <v>6</v>
      </c>
      <c r="V35" s="68">
        <v>42723</v>
      </c>
      <c r="W35" s="270" t="s">
        <v>107</v>
      </c>
      <c r="X35" s="41" t="s">
        <v>132</v>
      </c>
      <c r="Y35" s="227">
        <f t="shared" si="4"/>
        <v>54108.909130434782</v>
      </c>
      <c r="Z35" s="140"/>
      <c r="AA35" s="141"/>
      <c r="AB35" s="221">
        <f t="shared" si="5"/>
        <v>5849173.0769999996</v>
      </c>
    </row>
    <row r="36" spans="1:31" s="138" customFormat="1" ht="15.75" hidden="1" customHeight="1" thickBot="1">
      <c r="A36" s="206" t="s">
        <v>150</v>
      </c>
      <c r="B36" s="206" t="s">
        <v>16</v>
      </c>
      <c r="C36" s="184" t="s">
        <v>55</v>
      </c>
      <c r="D36" s="191">
        <v>83</v>
      </c>
      <c r="E36" s="191">
        <v>5</v>
      </c>
      <c r="F36" s="191">
        <f t="shared" si="0"/>
        <v>88</v>
      </c>
      <c r="G36" s="191">
        <v>0</v>
      </c>
      <c r="H36" s="191">
        <v>0</v>
      </c>
      <c r="I36" s="191">
        <v>0</v>
      </c>
      <c r="J36" s="208"/>
      <c r="K36" s="186"/>
      <c r="L36" s="191">
        <f t="shared" si="1"/>
        <v>88</v>
      </c>
      <c r="M36" s="164">
        <v>0.2157</v>
      </c>
      <c r="N36" s="164">
        <v>0.06</v>
      </c>
      <c r="O36" s="209">
        <f t="shared" si="11"/>
        <v>4411917.0457269996</v>
      </c>
      <c r="P36" s="147">
        <f t="shared" si="7"/>
        <v>567813.72378506477</v>
      </c>
      <c r="Q36" s="147">
        <f t="shared" si="6"/>
        <v>3844103.321941935</v>
      </c>
      <c r="R36" s="184">
        <v>2</v>
      </c>
      <c r="S36" s="184" t="s">
        <v>228</v>
      </c>
      <c r="T36" s="184" t="s">
        <v>277</v>
      </c>
      <c r="U36" s="184"/>
      <c r="V36" s="184"/>
      <c r="W36" s="280"/>
      <c r="X36" s="282"/>
      <c r="Y36" s="227">
        <f t="shared" si="4"/>
        <v>50135.420974170447</v>
      </c>
      <c r="Z36" s="140"/>
      <c r="AA36" s="141"/>
      <c r="AB36" s="221">
        <f t="shared" si="5"/>
        <v>4147202.0229833792</v>
      </c>
    </row>
    <row r="37" spans="1:31" s="138" customFormat="1" ht="15.75" customHeight="1" thickBot="1">
      <c r="A37" s="206" t="s">
        <v>150</v>
      </c>
      <c r="B37" s="206" t="s">
        <v>16</v>
      </c>
      <c r="C37" s="184" t="s">
        <v>56</v>
      </c>
      <c r="D37" s="191">
        <v>83</v>
      </c>
      <c r="E37" s="191">
        <v>5</v>
      </c>
      <c r="F37" s="191">
        <f t="shared" si="0"/>
        <v>88</v>
      </c>
      <c r="G37" s="191">
        <v>0</v>
      </c>
      <c r="H37" s="191">
        <v>0</v>
      </c>
      <c r="I37" s="191">
        <v>0</v>
      </c>
      <c r="J37" s="208">
        <v>146</v>
      </c>
      <c r="K37" s="186">
        <v>4.3</v>
      </c>
      <c r="L37" s="191">
        <f t="shared" si="1"/>
        <v>92.3</v>
      </c>
      <c r="M37" s="164">
        <v>0.21529999999999999</v>
      </c>
      <c r="N37" s="164">
        <v>0.06</v>
      </c>
      <c r="O37" s="209">
        <f t="shared" si="11"/>
        <v>4487938.481683</v>
      </c>
      <c r="P37" s="147">
        <f>O37*11.99%</f>
        <v>538103.82395379175</v>
      </c>
      <c r="Q37" s="696">
        <f t="shared" si="6"/>
        <v>3949834.6577292085</v>
      </c>
      <c r="R37" s="184">
        <v>2</v>
      </c>
      <c r="S37" s="632" t="s">
        <v>108</v>
      </c>
      <c r="T37" s="632" t="s">
        <v>308</v>
      </c>
      <c r="U37" s="184"/>
      <c r="V37" s="279">
        <v>43466</v>
      </c>
      <c r="W37" s="280" t="s">
        <v>124</v>
      </c>
      <c r="X37" s="282" t="s">
        <v>331</v>
      </c>
      <c r="Y37" s="227">
        <f t="shared" si="4"/>
        <v>50999.300928215911</v>
      </c>
      <c r="Z37" s="140"/>
      <c r="AA37" s="141"/>
      <c r="AB37" s="221">
        <f t="shared" si="5"/>
        <v>4218662.1727820197</v>
      </c>
    </row>
    <row r="38" spans="1:31" s="138" customFormat="1" ht="15.75" hidden="1" customHeight="1" thickBot="1">
      <c r="A38" s="206" t="s">
        <v>150</v>
      </c>
      <c r="B38" s="206" t="s">
        <v>14</v>
      </c>
      <c r="C38" s="184" t="s">
        <v>57</v>
      </c>
      <c r="D38" s="191">
        <v>115</v>
      </c>
      <c r="E38" s="191">
        <v>0</v>
      </c>
      <c r="F38" s="191">
        <f t="shared" si="0"/>
        <v>115</v>
      </c>
      <c r="G38" s="191">
        <v>0</v>
      </c>
      <c r="H38" s="191">
        <v>0</v>
      </c>
      <c r="I38" s="191">
        <v>99</v>
      </c>
      <c r="J38" s="208"/>
      <c r="K38" s="186"/>
      <c r="L38" s="191">
        <f t="shared" si="1"/>
        <v>214</v>
      </c>
      <c r="M38" s="164">
        <f t="shared" si="3"/>
        <v>0</v>
      </c>
      <c r="N38" s="164"/>
      <c r="O38" s="209">
        <f t="shared" si="11"/>
        <v>6132619.5499999998</v>
      </c>
      <c r="P38" s="147">
        <f t="shared" si="7"/>
        <v>789268.13608499989</v>
      </c>
      <c r="Q38" s="147">
        <f t="shared" si="6"/>
        <v>5343351.4139149999</v>
      </c>
      <c r="R38" s="184">
        <v>2</v>
      </c>
      <c r="S38" s="184" t="s">
        <v>228</v>
      </c>
      <c r="T38" s="184" t="s">
        <v>275</v>
      </c>
      <c r="U38" s="184">
        <v>13</v>
      </c>
      <c r="V38" s="279">
        <v>43160</v>
      </c>
      <c r="W38" s="280" t="s">
        <v>152</v>
      </c>
      <c r="X38" s="282" t="s">
        <v>123</v>
      </c>
      <c r="Y38" s="227">
        <f t="shared" si="4"/>
        <v>53327.126521739126</v>
      </c>
      <c r="Z38" s="140"/>
      <c r="AA38" s="141"/>
      <c r="AB38" s="221">
        <f t="shared" si="5"/>
        <v>5764662.3769999994</v>
      </c>
    </row>
    <row r="39" spans="1:31" s="138" customFormat="1" ht="15.75" customHeight="1" thickBot="1">
      <c r="A39" s="169" t="s">
        <v>150</v>
      </c>
      <c r="B39" s="169" t="s">
        <v>14</v>
      </c>
      <c r="C39" s="105" t="s">
        <v>58</v>
      </c>
      <c r="D39" s="124">
        <v>115</v>
      </c>
      <c r="E39" s="124">
        <v>0</v>
      </c>
      <c r="F39" s="124">
        <f t="shared" si="0"/>
        <v>115</v>
      </c>
      <c r="G39" s="124">
        <v>0</v>
      </c>
      <c r="H39" s="124">
        <v>0</v>
      </c>
      <c r="I39" s="124">
        <v>99</v>
      </c>
      <c r="J39" s="133"/>
      <c r="K39" s="134"/>
      <c r="L39" s="124">
        <f t="shared" si="1"/>
        <v>214</v>
      </c>
      <c r="M39" s="118">
        <f t="shared" si="3"/>
        <v>0</v>
      </c>
      <c r="N39" s="118"/>
      <c r="O39" s="135">
        <f t="shared" si="11"/>
        <v>6132619.5499999998</v>
      </c>
      <c r="P39" s="147">
        <f>O39*11.99%</f>
        <v>735301.08404500003</v>
      </c>
      <c r="Q39" s="147">
        <f t="shared" si="6"/>
        <v>5397318.4659549994</v>
      </c>
      <c r="R39" s="105">
        <v>2</v>
      </c>
      <c r="S39" s="102"/>
      <c r="T39" s="102"/>
      <c r="U39" s="102"/>
      <c r="V39" s="86"/>
      <c r="W39" s="284"/>
      <c r="X39" s="283"/>
      <c r="Y39" s="227">
        <f t="shared" si="4"/>
        <v>53327.126521739126</v>
      </c>
      <c r="Z39" s="140"/>
      <c r="AA39" s="141"/>
      <c r="AB39" s="221">
        <f t="shared" si="5"/>
        <v>5764662.3769999994</v>
      </c>
    </row>
    <row r="40" spans="1:31" s="138" customFormat="1" ht="15.75" hidden="1" customHeight="1" thickBot="1">
      <c r="A40" s="206" t="s">
        <v>150</v>
      </c>
      <c r="B40" s="206" t="s">
        <v>16</v>
      </c>
      <c r="C40" s="184" t="s">
        <v>59</v>
      </c>
      <c r="D40" s="191">
        <v>83</v>
      </c>
      <c r="E40" s="191">
        <v>5</v>
      </c>
      <c r="F40" s="191">
        <f t="shared" si="0"/>
        <v>88</v>
      </c>
      <c r="G40" s="191">
        <v>0</v>
      </c>
      <c r="H40" s="191">
        <v>0</v>
      </c>
      <c r="I40" s="191">
        <v>0</v>
      </c>
      <c r="J40" s="208">
        <v>145</v>
      </c>
      <c r="K40" s="186">
        <v>3.8</v>
      </c>
      <c r="L40" s="191">
        <f t="shared" si="1"/>
        <v>91.8</v>
      </c>
      <c r="M40" s="164">
        <v>0.216</v>
      </c>
      <c r="N40" s="164">
        <v>0.06</v>
      </c>
      <c r="O40" s="209">
        <f t="shared" si="11"/>
        <v>4481217.4937599991</v>
      </c>
      <c r="P40" s="147">
        <f t="shared" si="7"/>
        <v>576732.69144691178</v>
      </c>
      <c r="Q40" s="147">
        <f t="shared" si="6"/>
        <v>3904484.8023130875</v>
      </c>
      <c r="R40" s="184">
        <v>2</v>
      </c>
      <c r="S40" s="184" t="s">
        <v>228</v>
      </c>
      <c r="T40" s="184" t="s">
        <v>202</v>
      </c>
      <c r="U40" s="184">
        <v>6</v>
      </c>
      <c r="V40" s="279">
        <v>42736</v>
      </c>
      <c r="W40" s="280" t="s">
        <v>107</v>
      </c>
      <c r="X40" s="282"/>
      <c r="Y40" s="227">
        <f t="shared" si="4"/>
        <v>50922.926065454536</v>
      </c>
      <c r="Z40" s="140"/>
      <c r="AA40" s="141"/>
      <c r="AB40" s="221">
        <f t="shared" si="5"/>
        <v>4212344.4441343993</v>
      </c>
    </row>
    <row r="41" spans="1:31" s="138" customFormat="1" ht="15.75" customHeight="1" thickBot="1">
      <c r="A41" s="169" t="s">
        <v>150</v>
      </c>
      <c r="B41" s="169" t="s">
        <v>16</v>
      </c>
      <c r="C41" s="105" t="s">
        <v>60</v>
      </c>
      <c r="D41" s="124">
        <v>83</v>
      </c>
      <c r="E41" s="124">
        <v>5</v>
      </c>
      <c r="F41" s="124">
        <f t="shared" si="0"/>
        <v>88</v>
      </c>
      <c r="G41" s="124">
        <v>0</v>
      </c>
      <c r="H41" s="124">
        <v>0</v>
      </c>
      <c r="I41" s="124">
        <v>0</v>
      </c>
      <c r="J41" s="133"/>
      <c r="K41" s="134"/>
      <c r="L41" s="124">
        <f t="shared" si="1"/>
        <v>88</v>
      </c>
      <c r="M41" s="118">
        <v>0.2157</v>
      </c>
      <c r="N41" s="118">
        <v>0.06</v>
      </c>
      <c r="O41" s="135">
        <f t="shared" si="11"/>
        <v>4411917.0457269996</v>
      </c>
      <c r="P41" s="147">
        <f>O41*11.99%</f>
        <v>528988.85378266731</v>
      </c>
      <c r="Q41" s="147">
        <f t="shared" si="6"/>
        <v>3882928.1919443323</v>
      </c>
      <c r="R41" s="105">
        <v>2</v>
      </c>
      <c r="S41" s="767"/>
      <c r="T41" s="105"/>
      <c r="U41" s="105"/>
      <c r="V41" s="768"/>
      <c r="W41" s="232"/>
      <c r="X41" s="769"/>
      <c r="Y41" s="227">
        <f t="shared" si="4"/>
        <v>50135.420974170447</v>
      </c>
      <c r="Z41" s="140"/>
      <c r="AA41" s="141"/>
      <c r="AB41" s="221">
        <f t="shared" si="5"/>
        <v>4147202.0229833792</v>
      </c>
    </row>
    <row r="42" spans="1:31" s="138" customFormat="1" ht="15.75" customHeight="1">
      <c r="A42" s="206" t="s">
        <v>150</v>
      </c>
      <c r="B42" s="206" t="s">
        <v>14</v>
      </c>
      <c r="C42" s="184" t="s">
        <v>61</v>
      </c>
      <c r="D42" s="191">
        <v>115</v>
      </c>
      <c r="E42" s="191">
        <v>0</v>
      </c>
      <c r="F42" s="191">
        <f t="shared" si="0"/>
        <v>115</v>
      </c>
      <c r="G42" s="191">
        <v>0</v>
      </c>
      <c r="H42" s="191">
        <v>0</v>
      </c>
      <c r="I42" s="191">
        <v>99</v>
      </c>
      <c r="J42" s="208"/>
      <c r="K42" s="186"/>
      <c r="L42" s="191">
        <f t="shared" si="1"/>
        <v>214</v>
      </c>
      <c r="M42" s="164">
        <f t="shared" si="3"/>
        <v>0</v>
      </c>
      <c r="N42" s="164"/>
      <c r="O42" s="209">
        <f t="shared" si="11"/>
        <v>6132619.5499999998</v>
      </c>
      <c r="P42" s="147">
        <f>O42*11.99%</f>
        <v>735301.08404500003</v>
      </c>
      <c r="Q42" s="696">
        <f t="shared" si="6"/>
        <v>5397318.4659549994</v>
      </c>
      <c r="R42" s="184">
        <v>2</v>
      </c>
      <c r="S42" s="184" t="s">
        <v>108</v>
      </c>
      <c r="T42" s="184" t="s">
        <v>332</v>
      </c>
      <c r="U42" s="184">
        <v>21</v>
      </c>
      <c r="V42" s="279">
        <v>43497</v>
      </c>
      <c r="W42" s="280" t="s">
        <v>107</v>
      </c>
      <c r="X42" s="282" t="s">
        <v>331</v>
      </c>
      <c r="Y42" s="227">
        <f t="shared" si="4"/>
        <v>53327.126521739126</v>
      </c>
      <c r="Z42" s="140"/>
      <c r="AA42" s="141"/>
      <c r="AB42" s="221">
        <f t="shared" si="5"/>
        <v>5764662.3769999994</v>
      </c>
    </row>
    <row r="43" spans="1:31" ht="16.5" customHeight="1">
      <c r="A43" s="106"/>
      <c r="B43" s="106"/>
      <c r="C43" s="106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8"/>
      <c r="P43" s="108"/>
      <c r="Q43" s="108"/>
      <c r="R43" s="106"/>
      <c r="S43" s="106"/>
      <c r="T43" s="106"/>
      <c r="U43" s="106"/>
      <c r="V43" s="106"/>
      <c r="W43" s="239"/>
      <c r="X43" s="103"/>
      <c r="Y43" s="229"/>
      <c r="Z43" s="101"/>
      <c r="AA43" s="101"/>
      <c r="AB43" s="220"/>
      <c r="AC43" s="26"/>
      <c r="AD43" s="26"/>
      <c r="AE43" s="26"/>
    </row>
    <row r="44" spans="1:31" ht="15.75" hidden="1" customHeight="1">
      <c r="A44" s="101"/>
      <c r="B44" s="101"/>
      <c r="C44" s="101"/>
      <c r="D44" s="109">
        <f t="shared" ref="D44:I44" si="12">SUM(D4:D43)</f>
        <v>3886</v>
      </c>
      <c r="E44" s="109">
        <f t="shared" si="12"/>
        <v>80</v>
      </c>
      <c r="F44" s="109">
        <f t="shared" si="12"/>
        <v>3966</v>
      </c>
      <c r="G44" s="109">
        <f t="shared" si="12"/>
        <v>0</v>
      </c>
      <c r="H44" s="109">
        <f t="shared" si="12"/>
        <v>416.48999999999995</v>
      </c>
      <c r="I44" s="109">
        <f t="shared" si="12"/>
        <v>396</v>
      </c>
      <c r="J44" s="109"/>
      <c r="K44" s="109">
        <f>SUM(K4:K43)</f>
        <v>122.49999999999999</v>
      </c>
      <c r="L44" s="109">
        <f>SUM(L4:L43)</f>
        <v>4900.9900000000007</v>
      </c>
      <c r="M44" s="109"/>
      <c r="N44" s="109"/>
      <c r="O44" s="108">
        <f>SUM(O4:O43)</f>
        <v>186170900.03769696</v>
      </c>
      <c r="P44" s="629"/>
      <c r="Q44" s="629"/>
      <c r="R44" s="110">
        <f>SUM(R4:R43)</f>
        <v>73</v>
      </c>
      <c r="S44" s="110"/>
      <c r="T44" s="110"/>
      <c r="U44" s="110"/>
      <c r="V44" s="110"/>
      <c r="W44" s="240"/>
      <c r="X44" s="103"/>
      <c r="Y44" s="229"/>
      <c r="Z44" s="110"/>
      <c r="AA44" s="101"/>
      <c r="AB44" s="220"/>
      <c r="AC44" s="26"/>
      <c r="AD44" s="26"/>
      <c r="AE44" s="26"/>
    </row>
    <row r="45" spans="1:31" ht="15" hidden="1" customHeight="1">
      <c r="A45" s="26"/>
      <c r="B45" s="26"/>
      <c r="C45" s="26"/>
      <c r="D45" s="26"/>
      <c r="E45" s="26"/>
      <c r="F45" s="109" t="e">
        <f>+#REF!</f>
        <v>#REF!</v>
      </c>
      <c r="G45" s="26"/>
      <c r="H45" s="26"/>
      <c r="I45" s="26"/>
      <c r="J45" s="26"/>
      <c r="K45" s="26"/>
      <c r="L45" s="26"/>
      <c r="M45" s="26"/>
      <c r="N45" s="26"/>
      <c r="O45" s="108" t="e">
        <f>+#REF!</f>
        <v>#REF!</v>
      </c>
      <c r="P45" s="630"/>
      <c r="Q45" s="630"/>
      <c r="R45" s="26"/>
      <c r="S45" s="26"/>
      <c r="T45" s="26"/>
      <c r="U45" s="26"/>
      <c r="V45" s="26"/>
      <c r="W45" s="111"/>
      <c r="X45" s="26"/>
      <c r="Y45" s="112"/>
      <c r="Z45" s="26"/>
      <c r="AA45" s="26"/>
      <c r="AB45" s="113"/>
      <c r="AC45" s="26"/>
      <c r="AD45" s="26"/>
      <c r="AE45" s="26"/>
    </row>
    <row r="46" spans="1:31" ht="15" hidden="1" customHeight="1">
      <c r="A46" s="26"/>
      <c r="B46" s="26"/>
      <c r="C46" s="26"/>
      <c r="D46" s="26"/>
      <c r="E46" s="26"/>
      <c r="F46" s="109">
        <f>+JADE!F25</f>
        <v>2347.5</v>
      </c>
      <c r="G46" s="26"/>
      <c r="H46" s="26"/>
      <c r="I46" s="26"/>
      <c r="J46" s="26"/>
      <c r="K46" s="26"/>
      <c r="L46" s="26"/>
      <c r="M46" s="26"/>
      <c r="N46" s="26"/>
      <c r="O46" s="108">
        <f>+JADE!M25</f>
        <v>87635367.867399991</v>
      </c>
      <c r="P46" s="630"/>
      <c r="Q46" s="630"/>
      <c r="R46" s="26"/>
      <c r="S46" s="26"/>
      <c r="T46" s="26"/>
      <c r="U46" s="26"/>
      <c r="V46" s="26"/>
      <c r="W46" s="111"/>
      <c r="X46" s="26"/>
      <c r="Y46" s="112"/>
      <c r="Z46" s="26"/>
      <c r="AA46" s="26"/>
      <c r="AB46" s="113"/>
      <c r="AC46" s="26"/>
      <c r="AD46" s="26"/>
      <c r="AE46" s="26"/>
    </row>
    <row r="47" spans="1:31" ht="15" hidden="1" customHeight="1">
      <c r="A47" s="26"/>
      <c r="B47" s="26"/>
      <c r="C47" s="26"/>
      <c r="D47" s="26"/>
      <c r="E47" s="26"/>
      <c r="F47" s="109" t="e">
        <f>+#REF!</f>
        <v>#REF!</v>
      </c>
      <c r="G47" s="26"/>
      <c r="H47" s="109"/>
      <c r="I47" s="26"/>
      <c r="J47" s="26"/>
      <c r="K47" s="26"/>
      <c r="L47" s="26"/>
      <c r="M47" s="26"/>
      <c r="N47" s="26"/>
      <c r="O47" s="108" t="e">
        <f>+#REF!</f>
        <v>#REF!</v>
      </c>
      <c r="P47" s="630"/>
      <c r="Q47" s="630"/>
      <c r="R47" s="26"/>
      <c r="S47" s="26"/>
      <c r="T47" s="26"/>
      <c r="U47" s="26"/>
      <c r="V47" s="26"/>
      <c r="W47" s="111"/>
      <c r="X47" s="26"/>
      <c r="Y47" s="112"/>
      <c r="Z47" s="26"/>
      <c r="AA47" s="26"/>
      <c r="AB47" s="113"/>
      <c r="AC47" s="26"/>
      <c r="AD47" s="26"/>
      <c r="AE47" s="26"/>
    </row>
    <row r="48" spans="1:31" ht="15" hidden="1" customHeight="1">
      <c r="A48" s="26"/>
      <c r="B48" s="26"/>
      <c r="C48" s="26"/>
      <c r="D48" s="26"/>
      <c r="E48" s="26"/>
      <c r="F48" s="109" t="e">
        <f>SUM(F44:F47)</f>
        <v>#REF!</v>
      </c>
      <c r="G48" s="26"/>
      <c r="H48" s="26"/>
      <c r="I48" s="26"/>
      <c r="J48" s="26"/>
      <c r="K48" s="26"/>
      <c r="L48" s="26"/>
      <c r="M48" s="26"/>
      <c r="N48" s="26"/>
      <c r="O48" s="108" t="e">
        <f>SUM(O44:O47)</f>
        <v>#REF!</v>
      </c>
      <c r="P48" s="630"/>
      <c r="Q48" s="630"/>
      <c r="R48" s="26"/>
      <c r="S48" s="26"/>
      <c r="T48" s="26"/>
      <c r="U48" s="26"/>
      <c r="V48" s="26"/>
      <c r="W48" s="111"/>
      <c r="X48" s="26"/>
      <c r="Y48" s="112"/>
      <c r="Z48" s="26"/>
      <c r="AA48" s="26"/>
      <c r="AB48" s="113"/>
      <c r="AC48" s="26"/>
      <c r="AD48" s="26"/>
      <c r="AE48" s="26"/>
    </row>
    <row r="49" spans="1:267" ht="16.2" hidden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108" t="e">
        <f>+O48*0.94</f>
        <v>#REF!</v>
      </c>
      <c r="P49" s="630"/>
      <c r="Q49" s="630"/>
      <c r="R49" s="114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</row>
    <row r="50" spans="1:267" ht="16.2" hidden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 s="222" t="e">
        <f>+O49*0.93</f>
        <v>#REF!</v>
      </c>
      <c r="P50" s="631"/>
      <c r="Q50" s="631"/>
      <c r="R50" s="23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</row>
    <row r="51" spans="1:267" s="30" customFormat="1" ht="16.2">
      <c r="O51" s="26"/>
      <c r="P51" s="26"/>
      <c r="Q51" s="26"/>
      <c r="R51" s="26"/>
    </row>
    <row r="52" spans="1:267" s="30" customFormat="1" ht="1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111"/>
      <c r="X52" s="26"/>
      <c r="Y52" s="112"/>
      <c r="Z52" s="26"/>
      <c r="AA52" s="26"/>
      <c r="AB52" s="113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  <c r="IV52" s="26"/>
      <c r="IW52" s="26"/>
      <c r="IX52" s="26"/>
      <c r="IY52" s="26"/>
      <c r="IZ52" s="26"/>
      <c r="JA52" s="26"/>
      <c r="JB52" s="26"/>
      <c r="JC52" s="26"/>
      <c r="JD52" s="26"/>
      <c r="JE52" s="26"/>
      <c r="JF52" s="26"/>
      <c r="JG52" s="26"/>
    </row>
    <row r="53" spans="1:267" s="30" customFormat="1" ht="1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111"/>
      <c r="X53" s="26"/>
      <c r="Y53" s="112"/>
      <c r="Z53" s="26"/>
      <c r="AA53" s="26"/>
      <c r="AB53" s="113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  <c r="IV53" s="26"/>
      <c r="IW53" s="26"/>
      <c r="IX53" s="26"/>
      <c r="IY53" s="26"/>
      <c r="IZ53" s="26"/>
      <c r="JA53" s="26"/>
      <c r="JB53" s="26"/>
      <c r="JC53" s="26"/>
      <c r="JD53" s="26"/>
      <c r="JE53" s="26"/>
      <c r="JF53" s="26"/>
      <c r="JG53" s="26"/>
    </row>
    <row r="54" spans="1:267" s="30" customFormat="1" ht="1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111"/>
      <c r="X54" s="26"/>
      <c r="Y54" s="112"/>
      <c r="Z54" s="26"/>
      <c r="AA54" s="26"/>
      <c r="AB54" s="113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  <c r="IW54" s="26"/>
      <c r="IX54" s="26"/>
      <c r="IY54" s="26"/>
      <c r="IZ54" s="26"/>
      <c r="JA54" s="26"/>
      <c r="JB54" s="26"/>
      <c r="JC54" s="26"/>
      <c r="JD54" s="26"/>
      <c r="JE54" s="26"/>
      <c r="JF54" s="26"/>
      <c r="JG54" s="26"/>
    </row>
    <row r="55" spans="1:267" s="30" customFormat="1" ht="1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111"/>
      <c r="X55" s="26"/>
      <c r="Y55" s="112"/>
      <c r="Z55" s="26"/>
      <c r="AA55" s="26"/>
      <c r="AB55" s="113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  <c r="IW55" s="26"/>
      <c r="IX55" s="26"/>
      <c r="IY55" s="26"/>
      <c r="IZ55" s="26"/>
      <c r="JA55" s="26"/>
      <c r="JB55" s="26"/>
      <c r="JC55" s="26"/>
      <c r="JD55" s="26"/>
      <c r="JE55" s="26"/>
      <c r="JF55" s="26"/>
      <c r="JG55" s="26"/>
    </row>
    <row r="56" spans="1:267" s="30" customFormat="1" ht="1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111"/>
      <c r="X56" s="26"/>
      <c r="Y56" s="112"/>
      <c r="Z56" s="26"/>
      <c r="AA56" s="26"/>
      <c r="AB56" s="113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  <c r="IW56" s="26"/>
      <c r="IX56" s="26"/>
      <c r="IY56" s="26"/>
      <c r="IZ56" s="26"/>
      <c r="JA56" s="26"/>
      <c r="JB56" s="26"/>
      <c r="JC56" s="26"/>
      <c r="JD56" s="26"/>
      <c r="JE56" s="26"/>
      <c r="JF56" s="26"/>
      <c r="JG56" s="26"/>
    </row>
    <row r="57" spans="1:267" s="30" customFormat="1" ht="1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111"/>
      <c r="X57" s="26"/>
      <c r="Y57" s="112"/>
      <c r="Z57" s="26"/>
      <c r="AA57" s="26"/>
      <c r="AB57" s="113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  <c r="IW57" s="26"/>
      <c r="IX57" s="26"/>
      <c r="IY57" s="26"/>
      <c r="IZ57" s="26"/>
      <c r="JA57" s="26"/>
      <c r="JB57" s="26"/>
      <c r="JC57" s="26"/>
      <c r="JD57" s="26"/>
      <c r="JE57" s="26"/>
      <c r="JF57" s="26"/>
      <c r="JG57" s="26"/>
    </row>
    <row r="58" spans="1:267" s="30" customFormat="1" ht="1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111"/>
      <c r="X58" s="26"/>
      <c r="Y58" s="112"/>
      <c r="Z58" s="26"/>
      <c r="AA58" s="26"/>
      <c r="AB58" s="113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</row>
    <row r="59" spans="1:267" s="30" customFormat="1" ht="1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111"/>
      <c r="X59" s="26"/>
      <c r="Y59" s="112"/>
      <c r="Z59" s="26"/>
      <c r="AA59" s="26"/>
      <c r="AB59" s="113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</row>
    <row r="60" spans="1:267" s="30" customFormat="1" ht="1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111"/>
      <c r="X60" s="26"/>
      <c r="Y60" s="112"/>
      <c r="Z60" s="26"/>
      <c r="AA60" s="26"/>
      <c r="AB60" s="113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  <c r="IV60" s="26"/>
      <c r="IW60" s="26"/>
      <c r="IX60" s="26"/>
      <c r="IY60" s="26"/>
      <c r="IZ60" s="26"/>
      <c r="JA60" s="26"/>
      <c r="JB60" s="26"/>
      <c r="JC60" s="26"/>
      <c r="JD60" s="26"/>
      <c r="JE60" s="26"/>
      <c r="JF60" s="26"/>
      <c r="JG60" s="26"/>
    </row>
    <row r="61" spans="1:267" s="30" customFormat="1" ht="1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111"/>
      <c r="X61" s="26"/>
      <c r="Y61" s="112"/>
      <c r="Z61" s="26"/>
      <c r="AA61" s="26"/>
      <c r="AB61" s="113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  <c r="IW61" s="26"/>
      <c r="IX61" s="26"/>
      <c r="IY61" s="26"/>
      <c r="IZ61" s="26"/>
      <c r="JA61" s="26"/>
      <c r="JB61" s="26"/>
      <c r="JC61" s="26"/>
      <c r="JD61" s="26"/>
      <c r="JE61" s="26"/>
      <c r="JF61" s="26"/>
      <c r="JG61" s="26"/>
    </row>
    <row r="62" spans="1:267" s="30" customFormat="1" ht="1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111"/>
      <c r="X62" s="26"/>
      <c r="Y62" s="112"/>
      <c r="Z62" s="26"/>
      <c r="AA62" s="26"/>
      <c r="AB62" s="113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  <c r="IV62" s="26"/>
      <c r="IW62" s="26"/>
      <c r="IX62" s="26"/>
      <c r="IY62" s="26"/>
      <c r="IZ62" s="26"/>
      <c r="JA62" s="26"/>
      <c r="JB62" s="26"/>
      <c r="JC62" s="26"/>
      <c r="JD62" s="26"/>
      <c r="JE62" s="26"/>
      <c r="JF62" s="26"/>
      <c r="JG62" s="26"/>
    </row>
    <row r="63" spans="1:267" s="30" customFormat="1" ht="1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111"/>
      <c r="X63" s="26"/>
      <c r="Y63" s="112"/>
      <c r="Z63" s="26"/>
      <c r="AA63" s="26"/>
      <c r="AB63" s="113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  <c r="IW63" s="26"/>
      <c r="IX63" s="26"/>
      <c r="IY63" s="26"/>
      <c r="IZ63" s="26"/>
      <c r="JA63" s="26"/>
      <c r="JB63" s="26"/>
      <c r="JC63" s="26"/>
      <c r="JD63" s="26"/>
      <c r="JE63" s="26"/>
      <c r="JF63" s="26"/>
      <c r="JG63" s="26"/>
    </row>
    <row r="64" spans="1:267" s="30" customFormat="1" ht="1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111"/>
      <c r="X64" s="26"/>
      <c r="Y64" s="112"/>
      <c r="Z64" s="26"/>
      <c r="AA64" s="26"/>
      <c r="AB64" s="113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  <c r="IV64" s="26"/>
      <c r="IW64" s="26"/>
      <c r="IX64" s="26"/>
      <c r="IY64" s="26"/>
      <c r="IZ64" s="26"/>
      <c r="JA64" s="26"/>
      <c r="JB64" s="26"/>
      <c r="JC64" s="26"/>
      <c r="JD64" s="26"/>
      <c r="JE64" s="26"/>
      <c r="JF64" s="26"/>
      <c r="JG64" s="26"/>
    </row>
    <row r="65" spans="1:267" s="30" customFormat="1" ht="1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111"/>
      <c r="X65" s="26"/>
      <c r="Y65" s="112"/>
      <c r="Z65" s="26"/>
      <c r="AA65" s="26"/>
      <c r="AB65" s="113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  <c r="IV65" s="26"/>
      <c r="IW65" s="26"/>
      <c r="IX65" s="26"/>
      <c r="IY65" s="26"/>
      <c r="IZ65" s="26"/>
      <c r="JA65" s="26"/>
      <c r="JB65" s="26"/>
      <c r="JC65" s="26"/>
      <c r="JD65" s="26"/>
      <c r="JE65" s="26"/>
      <c r="JF65" s="26"/>
      <c r="JG65" s="26"/>
    </row>
    <row r="66" spans="1:267" s="30" customFormat="1" ht="1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111"/>
      <c r="X66" s="26"/>
      <c r="Y66" s="112"/>
      <c r="Z66" s="26"/>
      <c r="AA66" s="26"/>
      <c r="AB66" s="113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  <c r="IV66" s="26"/>
      <c r="IW66" s="26"/>
      <c r="IX66" s="26"/>
      <c r="IY66" s="26"/>
      <c r="IZ66" s="26"/>
      <c r="JA66" s="26"/>
      <c r="JB66" s="26"/>
      <c r="JC66" s="26"/>
      <c r="JD66" s="26"/>
      <c r="JE66" s="26"/>
      <c r="JF66" s="26"/>
      <c r="JG66" s="26"/>
    </row>
    <row r="67" spans="1:267" s="30" customFormat="1" ht="1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111"/>
      <c r="X67" s="26"/>
      <c r="Y67" s="112"/>
      <c r="Z67" s="26"/>
      <c r="AA67" s="26"/>
      <c r="AB67" s="113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  <c r="IV67" s="26"/>
      <c r="IW67" s="26"/>
      <c r="IX67" s="26"/>
      <c r="IY67" s="26"/>
      <c r="IZ67" s="26"/>
      <c r="JA67" s="26"/>
      <c r="JB67" s="26"/>
      <c r="JC67" s="26"/>
      <c r="JD67" s="26"/>
      <c r="JE67" s="26"/>
      <c r="JF67" s="26"/>
      <c r="JG67" s="26"/>
    </row>
    <row r="68" spans="1:267" s="30" customFormat="1" ht="1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111"/>
      <c r="X68" s="26"/>
      <c r="Y68" s="112"/>
      <c r="Z68" s="26"/>
      <c r="AA68" s="26"/>
      <c r="AB68" s="113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  <c r="IW68" s="26"/>
      <c r="IX68" s="26"/>
      <c r="IY68" s="26"/>
      <c r="IZ68" s="26"/>
      <c r="JA68" s="26"/>
      <c r="JB68" s="26"/>
      <c r="JC68" s="26"/>
      <c r="JD68" s="26"/>
      <c r="JE68" s="26"/>
      <c r="JF68" s="26"/>
      <c r="JG68" s="26"/>
    </row>
    <row r="69" spans="1:267" s="30" customFormat="1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111"/>
      <c r="X69" s="26"/>
      <c r="Y69" s="112"/>
      <c r="Z69" s="26"/>
      <c r="AA69" s="26"/>
      <c r="AB69" s="113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  <c r="IV69" s="26"/>
      <c r="IW69" s="26"/>
      <c r="IX69" s="26"/>
      <c r="IY69" s="26"/>
      <c r="IZ69" s="26"/>
      <c r="JA69" s="26"/>
      <c r="JB69" s="26"/>
      <c r="JC69" s="26"/>
      <c r="JD69" s="26"/>
      <c r="JE69" s="26"/>
      <c r="JF69" s="26"/>
      <c r="JG69" s="26"/>
    </row>
    <row r="70" spans="1:267" s="30" customFormat="1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111"/>
      <c r="X70" s="26"/>
      <c r="Y70" s="112"/>
      <c r="Z70" s="26"/>
      <c r="AA70" s="26"/>
      <c r="AB70" s="113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  <c r="IV70" s="26"/>
      <c r="IW70" s="26"/>
      <c r="IX70" s="26"/>
      <c r="IY70" s="26"/>
      <c r="IZ70" s="26"/>
      <c r="JA70" s="26"/>
      <c r="JB70" s="26"/>
      <c r="JC70" s="26"/>
      <c r="JD70" s="26"/>
      <c r="JE70" s="26"/>
      <c r="JF70" s="26"/>
      <c r="JG70" s="26"/>
    </row>
    <row r="71" spans="1:267" s="30" customFormat="1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111"/>
      <c r="X71" s="26"/>
      <c r="Y71" s="112"/>
      <c r="Z71" s="26"/>
      <c r="AA71" s="26"/>
      <c r="AB71" s="113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  <c r="IW71" s="26"/>
      <c r="IX71" s="26"/>
      <c r="IY71" s="26"/>
      <c r="IZ71" s="26"/>
      <c r="JA71" s="26"/>
      <c r="JB71" s="26"/>
      <c r="JC71" s="26"/>
      <c r="JD71" s="26"/>
      <c r="JE71" s="26"/>
      <c r="JF71" s="26"/>
      <c r="JG71" s="26"/>
    </row>
    <row r="72" spans="1:267" s="30" customFormat="1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111"/>
      <c r="X72" s="26"/>
      <c r="Y72" s="112"/>
      <c r="Z72" s="26"/>
      <c r="AA72" s="26"/>
      <c r="AB72" s="113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  <c r="IW72" s="26"/>
      <c r="IX72" s="26"/>
      <c r="IY72" s="26"/>
      <c r="IZ72" s="26"/>
      <c r="JA72" s="26"/>
      <c r="JB72" s="26"/>
      <c r="JC72" s="26"/>
      <c r="JD72" s="26"/>
      <c r="JE72" s="26"/>
      <c r="JF72" s="26"/>
      <c r="JG72" s="26"/>
    </row>
    <row r="73" spans="1:267" s="30" customFormat="1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111"/>
      <c r="X73" s="26"/>
      <c r="Y73" s="112"/>
      <c r="Z73" s="26"/>
      <c r="AA73" s="26"/>
      <c r="AB73" s="113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  <c r="IV73" s="26"/>
      <c r="IW73" s="26"/>
      <c r="IX73" s="26"/>
      <c r="IY73" s="26"/>
      <c r="IZ73" s="26"/>
      <c r="JA73" s="26"/>
      <c r="JB73" s="26"/>
      <c r="JC73" s="26"/>
      <c r="JD73" s="26"/>
      <c r="JE73" s="26"/>
      <c r="JF73" s="26"/>
      <c r="JG73" s="26"/>
    </row>
    <row r="74" spans="1:267" s="30" customFormat="1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111"/>
      <c r="X74" s="26"/>
      <c r="Y74" s="112"/>
      <c r="Z74" s="26"/>
      <c r="AA74" s="26"/>
      <c r="AB74" s="113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  <c r="IW74" s="26"/>
      <c r="IX74" s="26"/>
      <c r="IY74" s="26"/>
      <c r="IZ74" s="26"/>
      <c r="JA74" s="26"/>
      <c r="JB74" s="26"/>
      <c r="JC74" s="26"/>
      <c r="JD74" s="26"/>
      <c r="JE74" s="26"/>
      <c r="JF74" s="26"/>
      <c r="JG74" s="26"/>
    </row>
    <row r="75" spans="1:267" s="30" customFormat="1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111"/>
      <c r="X75" s="26"/>
      <c r="Y75" s="112"/>
      <c r="Z75" s="26"/>
      <c r="AA75" s="26"/>
      <c r="AB75" s="113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  <c r="IV75" s="26"/>
      <c r="IW75" s="26"/>
      <c r="IX75" s="26"/>
      <c r="IY75" s="26"/>
      <c r="IZ75" s="26"/>
      <c r="JA75" s="26"/>
      <c r="JB75" s="26"/>
      <c r="JC75" s="26"/>
      <c r="JD75" s="26"/>
      <c r="JE75" s="26"/>
      <c r="JF75" s="26"/>
      <c r="JG75" s="26"/>
    </row>
  </sheetData>
  <mergeCells count="2">
    <mergeCell ref="K2:L2"/>
    <mergeCell ref="Y2:Z2"/>
  </mergeCells>
  <phoneticPr fontId="13" type="noConversion"/>
  <pageMargins left="0.75000000000000011" right="0.75000000000000011" top="1" bottom="1" header="0.5" footer="0.5"/>
  <pageSetup scale="85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  <pageSetUpPr fitToPage="1"/>
  </sheetPr>
  <dimension ref="A1:JD26"/>
  <sheetViews>
    <sheetView zoomScale="110" zoomScaleNormal="110" zoomScalePageLayoutView="150" workbookViewId="0">
      <selection activeCell="S28" sqref="S28"/>
    </sheetView>
  </sheetViews>
  <sheetFormatPr baseColWidth="10" defaultColWidth="6.84375" defaultRowHeight="15" customHeight="1"/>
  <cols>
    <col min="1" max="1" width="7.15234375" style="26" customWidth="1"/>
    <col min="2" max="2" width="6.23046875" style="26" customWidth="1"/>
    <col min="3" max="3" width="6.3828125" style="26" customWidth="1"/>
    <col min="4" max="5" width="6.84375" style="26" hidden="1" customWidth="1"/>
    <col min="6" max="6" width="8.15234375" style="26" customWidth="1"/>
    <col min="7" max="7" width="6.84375" style="26" hidden="1" customWidth="1"/>
    <col min="8" max="8" width="7.3828125" style="26" customWidth="1"/>
    <col min="9" max="9" width="5.765625" style="26" customWidth="1"/>
    <col min="10" max="10" width="6.765625" style="26" hidden="1" customWidth="1"/>
    <col min="11" max="11" width="5.3828125" style="26" hidden="1" customWidth="1"/>
    <col min="12" max="14" width="10.84375" style="26" hidden="1" customWidth="1"/>
    <col min="15" max="15" width="13" style="26" customWidth="1"/>
    <col min="16" max="16" width="13" style="26" hidden="1" customWidth="1"/>
    <col min="17" max="17" width="13" style="26" customWidth="1"/>
    <col min="18" max="18" width="5.765625" style="264" customWidth="1"/>
    <col min="19" max="19" width="8.15234375" style="264" customWidth="1"/>
    <col min="20" max="20" width="18.15234375" style="264" customWidth="1"/>
    <col min="21" max="21" width="4.3828125" style="264" customWidth="1"/>
    <col min="22" max="22" width="7.84375" style="265" customWidth="1"/>
    <col min="23" max="23" width="4.765625" style="265" customWidth="1"/>
    <col min="24" max="24" width="4.23046875" style="265" customWidth="1"/>
    <col min="25" max="25" width="10.765625" style="264" hidden="1" customWidth="1"/>
    <col min="26" max="29" width="10.765625" style="26" hidden="1" customWidth="1"/>
    <col min="30" max="33" width="10.765625" style="26" customWidth="1"/>
    <col min="34" max="264" width="6.84375" style="26" customWidth="1"/>
    <col min="265" max="16384" width="6.84375" style="30"/>
  </cols>
  <sheetData>
    <row r="1" spans="1:30" ht="33" customHeight="1">
      <c r="A1" s="211" t="s">
        <v>0</v>
      </c>
      <c r="B1" s="129"/>
      <c r="C1" s="129"/>
      <c r="D1" s="129"/>
      <c r="E1" s="129"/>
      <c r="F1" s="129"/>
      <c r="G1" s="129"/>
      <c r="H1" s="129"/>
      <c r="I1" s="129"/>
      <c r="J1" s="244"/>
      <c r="K1" s="129"/>
      <c r="L1" s="129"/>
      <c r="M1" s="129"/>
      <c r="N1" s="129"/>
      <c r="O1" s="129">
        <v>21</v>
      </c>
      <c r="P1" s="129"/>
      <c r="Q1" s="129"/>
      <c r="R1" s="129"/>
      <c r="S1" s="129"/>
      <c r="T1" s="129"/>
      <c r="U1" s="129"/>
      <c r="V1" s="245"/>
      <c r="W1" s="245"/>
      <c r="X1" s="245"/>
      <c r="Y1" s="129"/>
      <c r="Z1" s="246"/>
      <c r="AA1" s="101"/>
      <c r="AB1" s="101"/>
      <c r="AC1" s="101"/>
    </row>
    <row r="2" spans="1:30" ht="33" customHeight="1">
      <c r="A2" s="247" t="s">
        <v>191</v>
      </c>
      <c r="B2" s="130"/>
      <c r="C2" s="130"/>
      <c r="D2" s="130"/>
      <c r="E2" s="130"/>
      <c r="F2" s="130"/>
      <c r="G2" s="130"/>
      <c r="H2" s="130"/>
      <c r="I2" s="734"/>
      <c r="J2" s="734"/>
      <c r="K2" s="248"/>
      <c r="L2" s="130"/>
      <c r="M2" s="130"/>
      <c r="N2" s="130"/>
      <c r="O2" s="318" t="s">
        <v>325</v>
      </c>
      <c r="P2" s="627"/>
      <c r="Q2" s="627">
        <v>19</v>
      </c>
      <c r="R2" s="250"/>
      <c r="S2" s="130"/>
      <c r="T2" s="130"/>
      <c r="U2" s="130"/>
      <c r="V2" s="249"/>
      <c r="W2" s="249"/>
      <c r="X2" s="249"/>
      <c r="Y2" s="340" t="s">
        <v>156</v>
      </c>
      <c r="Z2" s="342"/>
      <c r="AA2" s="341"/>
      <c r="AB2" s="172"/>
      <c r="AC2" s="172"/>
    </row>
    <row r="3" spans="1:30" ht="45.75" customHeight="1" thickBot="1">
      <c r="A3" s="223" t="s">
        <v>1</v>
      </c>
      <c r="B3" s="223" t="s">
        <v>2</v>
      </c>
      <c r="C3" s="223" t="s">
        <v>3</v>
      </c>
      <c r="D3" s="223" t="s">
        <v>62</v>
      </c>
      <c r="E3" s="223" t="s">
        <v>63</v>
      </c>
      <c r="F3" s="223" t="s">
        <v>6</v>
      </c>
      <c r="G3" s="223" t="s">
        <v>7</v>
      </c>
      <c r="H3" s="223" t="s">
        <v>8</v>
      </c>
      <c r="I3" s="223" t="s">
        <v>9</v>
      </c>
      <c r="J3" s="223" t="s">
        <v>147</v>
      </c>
      <c r="K3" s="223" t="s">
        <v>148</v>
      </c>
      <c r="L3" s="223" t="s">
        <v>11</v>
      </c>
      <c r="M3" s="251" t="s">
        <v>146</v>
      </c>
      <c r="N3" s="251"/>
      <c r="O3" s="223" t="s">
        <v>12</v>
      </c>
      <c r="P3" s="223"/>
      <c r="Q3" s="18" t="s">
        <v>326</v>
      </c>
      <c r="R3" s="266" t="s">
        <v>13</v>
      </c>
      <c r="S3" s="266" t="s">
        <v>102</v>
      </c>
      <c r="T3" s="266" t="s">
        <v>95</v>
      </c>
      <c r="U3" s="266" t="s">
        <v>103</v>
      </c>
      <c r="V3" s="267" t="s">
        <v>97</v>
      </c>
      <c r="W3" s="267" t="s">
        <v>98</v>
      </c>
      <c r="X3" s="267" t="s">
        <v>205</v>
      </c>
      <c r="Y3" s="252"/>
      <c r="Z3" s="18" t="s">
        <v>104</v>
      </c>
      <c r="AA3" s="96"/>
      <c r="AB3" s="28"/>
      <c r="AC3" s="101"/>
    </row>
    <row r="4" spans="1:30" s="138" customFormat="1" ht="16.5" customHeight="1" thickBot="1">
      <c r="A4" s="313" t="s">
        <v>194</v>
      </c>
      <c r="B4" s="313" t="s">
        <v>64</v>
      </c>
      <c r="C4" s="162" t="s">
        <v>65</v>
      </c>
      <c r="D4" s="163">
        <v>115</v>
      </c>
      <c r="E4" s="163">
        <v>3.5</v>
      </c>
      <c r="F4" s="163">
        <f t="shared" ref="F4:F23" si="0">D4+E4</f>
        <v>118.5</v>
      </c>
      <c r="G4" s="164">
        <v>0</v>
      </c>
      <c r="H4" s="164">
        <v>70.099999999999994</v>
      </c>
      <c r="I4" s="635"/>
      <c r="J4" s="165"/>
      <c r="K4" s="164"/>
      <c r="L4" s="164">
        <f t="shared" ref="L4:L23" si="1">D4+E4+G4+H4+I4+K4</f>
        <v>188.6</v>
      </c>
      <c r="M4" s="164">
        <v>1.4999999999999999E-2</v>
      </c>
      <c r="N4" s="164"/>
      <c r="O4" s="310">
        <f>SUM((D4*(1+M4)*$AA$5)+(E4*$AA$9)+(G4*$AA$5)+(H4*$AA$8)+(I4*$AA$7)+(K4*$AA$6))+($R4*$AA$10-$AA$10)+(27000)</f>
        <v>6468949.625</v>
      </c>
      <c r="P4" s="628">
        <f>O4*11.99%</f>
        <v>775627.06003749999</v>
      </c>
      <c r="Q4" s="628">
        <f>O4-P4</f>
        <v>5693322.5649624998</v>
      </c>
      <c r="R4" s="167">
        <v>2</v>
      </c>
      <c r="S4" s="662" t="s">
        <v>334</v>
      </c>
      <c r="T4" s="596" t="s">
        <v>311</v>
      </c>
      <c r="U4" s="167">
        <v>20</v>
      </c>
      <c r="V4" s="168">
        <v>43739</v>
      </c>
      <c r="W4" s="599" t="s">
        <v>114</v>
      </c>
      <c r="X4" s="599" t="s">
        <v>123</v>
      </c>
      <c r="Y4" s="119"/>
      <c r="Z4" s="253">
        <f t="shared" ref="Z4:Z23" si="2">O4/F4</f>
        <v>54590.292194092828</v>
      </c>
      <c r="AA4" s="254"/>
      <c r="AB4" s="255"/>
      <c r="AC4" s="256">
        <f t="shared" ref="AC4" si="3">O4*0.94</f>
        <v>6080812.6475</v>
      </c>
      <c r="AD4" s="257"/>
    </row>
    <row r="5" spans="1:30" ht="16.5" customHeight="1" thickBot="1">
      <c r="A5" s="276" t="s">
        <v>194</v>
      </c>
      <c r="B5" s="277" t="s">
        <v>66</v>
      </c>
      <c r="C5" s="81" t="s">
        <v>67</v>
      </c>
      <c r="D5" s="145">
        <v>99</v>
      </c>
      <c r="E5" s="82">
        <v>6</v>
      </c>
      <c r="F5" s="82">
        <f t="shared" si="0"/>
        <v>105</v>
      </c>
      <c r="G5" s="83">
        <v>0</v>
      </c>
      <c r="H5" s="83">
        <v>58.1</v>
      </c>
      <c r="I5" s="355"/>
      <c r="J5" s="84"/>
      <c r="K5" s="83"/>
      <c r="L5" s="83">
        <f t="shared" si="1"/>
        <v>163.1</v>
      </c>
      <c r="M5" s="83"/>
      <c r="N5" s="83"/>
      <c r="O5" s="126">
        <f>SUM((D5*(1+M5)*$AA$5)+(E5*$AA$9)+(G5*$AA$5)+(H5*$AA$8)+(I5*$AA$7)+(K5*$AA$6))+($R5*$AA$10-$AA$10)+(27000)</f>
        <v>5612435.5</v>
      </c>
      <c r="P5" s="626">
        <f>O5*12%</f>
        <v>673492.26</v>
      </c>
      <c r="Q5" s="626">
        <f t="shared" ref="Q5:Q23" si="4">O5-P5</f>
        <v>4938943.24</v>
      </c>
      <c r="R5" s="85">
        <v>2</v>
      </c>
      <c r="S5" s="78"/>
      <c r="T5" s="85"/>
      <c r="U5" s="85"/>
      <c r="V5" s="86"/>
      <c r="W5" s="86"/>
      <c r="X5" s="86"/>
      <c r="Y5" s="85"/>
      <c r="Z5" s="95">
        <f t="shared" si="2"/>
        <v>53451.76666666667</v>
      </c>
      <c r="AA5" s="120">
        <v>37085</v>
      </c>
      <c r="AB5" s="97" t="s">
        <v>18</v>
      </c>
      <c r="AC5" s="29">
        <f t="shared" ref="AC5:AC25" si="5">+O5*0.94</f>
        <v>5275689.37</v>
      </c>
    </row>
    <row r="6" spans="1:30" ht="16.5" customHeight="1" thickBot="1">
      <c r="A6" s="709" t="s">
        <v>194</v>
      </c>
      <c r="B6" s="710" t="s">
        <v>68</v>
      </c>
      <c r="C6" s="711" t="s">
        <v>69</v>
      </c>
      <c r="D6" s="712">
        <v>114</v>
      </c>
      <c r="E6" s="713">
        <v>3.5</v>
      </c>
      <c r="F6" s="714">
        <f t="shared" si="0"/>
        <v>117.5</v>
      </c>
      <c r="G6" s="715">
        <v>0</v>
      </c>
      <c r="H6" s="715">
        <v>100</v>
      </c>
      <c r="I6" s="716"/>
      <c r="J6" s="717"/>
      <c r="K6" s="715"/>
      <c r="L6" s="715">
        <f t="shared" si="1"/>
        <v>217.5</v>
      </c>
      <c r="M6" s="715">
        <v>1.0999999999999999E-2</v>
      </c>
      <c r="N6" s="715"/>
      <c r="O6" s="718">
        <f>SUM((D6*(1+M6)*$AA$5)+(E6*$AA$9)+(G6*$AA$5)+(H6*$AA$8)+(I6*$AA$7)+(K6*$AA$6))+($R6*$AA$10-$AA$10)+(27000)</f>
        <v>7145004.0899999999</v>
      </c>
      <c r="P6" s="719">
        <f>O6*11.99%</f>
        <v>856685.99039100006</v>
      </c>
      <c r="Q6" s="719">
        <f t="shared" si="4"/>
        <v>6288318.0996089997</v>
      </c>
      <c r="R6" s="720">
        <v>2</v>
      </c>
      <c r="S6" s="721" t="s">
        <v>344</v>
      </c>
      <c r="T6" s="720"/>
      <c r="U6" s="720"/>
      <c r="V6" s="722"/>
      <c r="W6" s="722"/>
      <c r="X6" s="722"/>
      <c r="Y6" s="85"/>
      <c r="Z6" s="95">
        <f t="shared" si="2"/>
        <v>60808.545446808508</v>
      </c>
      <c r="AA6" s="120">
        <v>18520</v>
      </c>
      <c r="AB6" s="97" t="s">
        <v>10</v>
      </c>
      <c r="AC6" s="29">
        <f t="shared" si="5"/>
        <v>6716303.8445999995</v>
      </c>
    </row>
    <row r="7" spans="1:30" ht="16.5" customHeight="1" thickBot="1">
      <c r="A7" s="709" t="s">
        <v>194</v>
      </c>
      <c r="B7" s="723" t="s">
        <v>64</v>
      </c>
      <c r="C7" s="724" t="s">
        <v>70</v>
      </c>
      <c r="D7" s="725">
        <v>115</v>
      </c>
      <c r="E7" s="726">
        <v>3.5</v>
      </c>
      <c r="F7" s="726">
        <f t="shared" si="0"/>
        <v>118.5</v>
      </c>
      <c r="G7" s="727">
        <v>0</v>
      </c>
      <c r="H7" s="727">
        <v>98</v>
      </c>
      <c r="I7" s="728"/>
      <c r="J7" s="729"/>
      <c r="K7" s="727"/>
      <c r="L7" s="727">
        <f t="shared" si="1"/>
        <v>216.5</v>
      </c>
      <c r="M7" s="715">
        <v>8.9999999999999993E-3</v>
      </c>
      <c r="N7" s="727"/>
      <c r="O7" s="718">
        <f>SUM((D7*(1+M7)*$AA$5)+(E7*$AA$9)+(G7*$AA$5)+(H7*$AA$8)+(I7*$AA$7)+(K7*$AA$6))+($R7*$AA$10-$AA$10)+(27000)</f>
        <v>7125097.4749999996</v>
      </c>
      <c r="P7" s="719">
        <f>O7*11.99%</f>
        <v>854299.18725249998</v>
      </c>
      <c r="Q7" s="719">
        <f t="shared" si="4"/>
        <v>6270798.2877474995</v>
      </c>
      <c r="R7" s="730">
        <v>2</v>
      </c>
      <c r="S7" s="721" t="s">
        <v>344</v>
      </c>
      <c r="T7" s="730"/>
      <c r="U7" s="730"/>
      <c r="V7" s="731"/>
      <c r="W7" s="731"/>
      <c r="X7" s="731"/>
      <c r="Y7" s="91"/>
      <c r="Z7" s="95">
        <f t="shared" si="2"/>
        <v>60127.404852320673</v>
      </c>
      <c r="AA7" s="120">
        <v>13161</v>
      </c>
      <c r="AB7" s="97" t="s">
        <v>9</v>
      </c>
      <c r="AC7" s="29">
        <f t="shared" si="5"/>
        <v>6697591.6264999993</v>
      </c>
    </row>
    <row r="8" spans="1:30" ht="16.5" hidden="1" customHeight="1" thickBot="1">
      <c r="A8" s="313" t="s">
        <v>194</v>
      </c>
      <c r="B8" s="313" t="s">
        <v>64</v>
      </c>
      <c r="C8" s="36" t="s">
        <v>71</v>
      </c>
      <c r="D8" s="37">
        <v>115</v>
      </c>
      <c r="E8" s="37">
        <v>3.5</v>
      </c>
      <c r="F8" s="37">
        <f t="shared" si="0"/>
        <v>118.5</v>
      </c>
      <c r="G8" s="32"/>
      <c r="H8" s="32">
        <v>0</v>
      </c>
      <c r="I8" s="32">
        <v>0</v>
      </c>
      <c r="J8" s="49"/>
      <c r="K8" s="32"/>
      <c r="L8" s="32">
        <f t="shared" si="1"/>
        <v>118.5</v>
      </c>
      <c r="M8" s="32">
        <v>1.0999999999999999E-2</v>
      </c>
      <c r="N8" s="32"/>
      <c r="O8" s="176">
        <f>SUM((D8*(1+M8)*$AA$5*$AA$11)+(E8*$AA$9)+(G8*$AA$5)+(H8*$AA$8)+(I8*$AA$7)+(K8*$AA$6))+($R8*$AA$10-$AA$10) +(27000)</f>
        <v>4782113.900249999</v>
      </c>
      <c r="P8" s="626">
        <f t="shared" ref="P8:P26" si="6">O8*12.87%</f>
        <v>615458.05896217481</v>
      </c>
      <c r="Q8" s="626">
        <f t="shared" si="4"/>
        <v>4166655.8412878243</v>
      </c>
      <c r="R8" s="40">
        <v>2</v>
      </c>
      <c r="S8" s="40" t="s">
        <v>228</v>
      </c>
      <c r="T8" s="40" t="s">
        <v>210</v>
      </c>
      <c r="U8" s="40">
        <v>8</v>
      </c>
      <c r="V8" s="68">
        <v>42853</v>
      </c>
      <c r="W8" s="68" t="s">
        <v>107</v>
      </c>
      <c r="X8" s="268" t="s">
        <v>119</v>
      </c>
      <c r="Y8" s="78"/>
      <c r="Z8" s="95">
        <f t="shared" si="2"/>
        <v>40355.39156329113</v>
      </c>
      <c r="AA8" s="120">
        <v>24435</v>
      </c>
      <c r="AB8" s="97" t="s">
        <v>23</v>
      </c>
      <c r="AC8" s="29">
        <f t="shared" si="5"/>
        <v>4495187.0662349984</v>
      </c>
    </row>
    <row r="9" spans="1:30" ht="16.5" hidden="1" customHeight="1" thickBot="1">
      <c r="A9" s="313" t="s">
        <v>194</v>
      </c>
      <c r="B9" s="314" t="s">
        <v>68</v>
      </c>
      <c r="C9" s="42" t="s">
        <v>72</v>
      </c>
      <c r="D9" s="38">
        <v>114</v>
      </c>
      <c r="E9" s="38">
        <v>3.5</v>
      </c>
      <c r="F9" s="38">
        <f t="shared" si="0"/>
        <v>117.5</v>
      </c>
      <c r="G9" s="31">
        <v>0</v>
      </c>
      <c r="H9" s="31">
        <v>0</v>
      </c>
      <c r="I9" s="31">
        <v>0</v>
      </c>
      <c r="J9" s="51"/>
      <c r="K9" s="31"/>
      <c r="L9" s="31">
        <f t="shared" si="1"/>
        <v>117.5</v>
      </c>
      <c r="M9" s="31"/>
      <c r="N9" s="31"/>
      <c r="O9" s="176">
        <f>SUM((D9*(1+M9)*$AA$5*$AA$11)+(E9*$AA$9)+(G9*$AA$5)+(H9*$AA$8)+(I9*$AA$7)+(K9*$AA$6))+($R9*$AA$10-$AA$10)+(27000)</f>
        <v>4697276.4000000004</v>
      </c>
      <c r="P9" s="626">
        <f t="shared" si="6"/>
        <v>604539.47268000001</v>
      </c>
      <c r="Q9" s="626">
        <f t="shared" si="4"/>
        <v>4092736.9273200002</v>
      </c>
      <c r="R9" s="44">
        <v>2</v>
      </c>
      <c r="S9" s="44" t="s">
        <v>228</v>
      </c>
      <c r="T9" s="44" t="s">
        <v>230</v>
      </c>
      <c r="U9" s="44">
        <v>10</v>
      </c>
      <c r="V9" s="69">
        <v>42954</v>
      </c>
      <c r="W9" s="69" t="s">
        <v>114</v>
      </c>
      <c r="X9" s="204" t="s">
        <v>118</v>
      </c>
      <c r="Y9" s="85"/>
      <c r="Z9" s="95">
        <f t="shared" si="2"/>
        <v>39976.820425531922</v>
      </c>
      <c r="AA9" s="120">
        <v>37615</v>
      </c>
      <c r="AB9" s="97" t="s">
        <v>73</v>
      </c>
      <c r="AC9" s="29">
        <f t="shared" si="5"/>
        <v>4415439.8159999996</v>
      </c>
    </row>
    <row r="10" spans="1:30" ht="16.5" hidden="1" customHeight="1" thickBot="1">
      <c r="A10" s="313" t="s">
        <v>194</v>
      </c>
      <c r="B10" s="314" t="s">
        <v>68</v>
      </c>
      <c r="C10" s="42" t="s">
        <v>74</v>
      </c>
      <c r="D10" s="38">
        <v>114</v>
      </c>
      <c r="E10" s="38">
        <v>3.5</v>
      </c>
      <c r="F10" s="38">
        <f t="shared" si="0"/>
        <v>117.5</v>
      </c>
      <c r="G10" s="31">
        <v>0</v>
      </c>
      <c r="H10" s="31">
        <v>0</v>
      </c>
      <c r="I10" s="31">
        <v>0</v>
      </c>
      <c r="J10" s="49"/>
      <c r="K10" s="31"/>
      <c r="L10" s="31">
        <f t="shared" si="1"/>
        <v>117.5</v>
      </c>
      <c r="M10" s="31"/>
      <c r="N10" s="31"/>
      <c r="O10" s="176">
        <f>SUM((D10*(1+M10)*$AA$5*$AA$11)+(E10*$AA$9)+(G10*$AA$5)+(H10*$AA$8)+(I10*$AA$7)+(K10*$AA$6))+($R10*$AA$10-$AA$10)+(27000)</f>
        <v>4697276.4000000004</v>
      </c>
      <c r="P10" s="626">
        <f t="shared" si="6"/>
        <v>604539.47268000001</v>
      </c>
      <c r="Q10" s="626">
        <f t="shared" si="4"/>
        <v>4092736.9273200002</v>
      </c>
      <c r="R10" s="44">
        <v>2</v>
      </c>
      <c r="S10" s="194" t="s">
        <v>228</v>
      </c>
      <c r="T10" s="44" t="s">
        <v>231</v>
      </c>
      <c r="U10" s="44">
        <v>9</v>
      </c>
      <c r="V10" s="69">
        <v>42936</v>
      </c>
      <c r="W10" s="69" t="s">
        <v>141</v>
      </c>
      <c r="X10" s="204" t="s">
        <v>119</v>
      </c>
      <c r="Y10" s="85"/>
      <c r="Z10" s="95">
        <f t="shared" si="2"/>
        <v>39976.820425531922</v>
      </c>
      <c r="AA10" s="120">
        <v>268657</v>
      </c>
      <c r="AB10" s="97" t="s">
        <v>27</v>
      </c>
      <c r="AC10" s="29">
        <f t="shared" si="5"/>
        <v>4415439.8159999996</v>
      </c>
    </row>
    <row r="11" spans="1:30" ht="16.5" hidden="1" customHeight="1" thickBot="1">
      <c r="A11" s="313" t="s">
        <v>194</v>
      </c>
      <c r="B11" s="313" t="s">
        <v>64</v>
      </c>
      <c r="C11" s="154" t="s">
        <v>75</v>
      </c>
      <c r="D11" s="155">
        <v>115</v>
      </c>
      <c r="E11" s="155">
        <v>3.5</v>
      </c>
      <c r="F11" s="155">
        <f t="shared" si="0"/>
        <v>118.5</v>
      </c>
      <c r="G11" s="156">
        <v>0</v>
      </c>
      <c r="H11" s="156">
        <v>0</v>
      </c>
      <c r="I11" s="156">
        <v>0</v>
      </c>
      <c r="J11" s="51"/>
      <c r="K11" s="156"/>
      <c r="L11" s="156">
        <f t="shared" si="1"/>
        <v>118.5</v>
      </c>
      <c r="M11" s="156"/>
      <c r="N11" s="156"/>
      <c r="O11" s="176">
        <f>SUM((D11*(1+M11)*$AA$5*$AA$11)+(E11*$AA$9)+(G11*$AA$5)+(H11*$AA$8)+(I11*$AA$7)+(K11*$AA$6))+($R11*$AA$10-$AA$10)+(27000)</f>
        <v>4734732.25</v>
      </c>
      <c r="P11" s="626">
        <f t="shared" si="6"/>
        <v>609360.04057499988</v>
      </c>
      <c r="Q11" s="626">
        <f t="shared" si="4"/>
        <v>4125372.209425</v>
      </c>
      <c r="R11" s="159">
        <v>2</v>
      </c>
      <c r="S11" s="633" t="s">
        <v>228</v>
      </c>
      <c r="T11" s="304" t="s">
        <v>220</v>
      </c>
      <c r="U11" s="305">
        <v>9</v>
      </c>
      <c r="V11" s="306">
        <v>42948</v>
      </c>
      <c r="W11" s="304" t="s">
        <v>221</v>
      </c>
      <c r="X11" s="204" t="s">
        <v>123</v>
      </c>
      <c r="Y11" s="117"/>
      <c r="Z11" s="95">
        <f t="shared" si="2"/>
        <v>39955.54641350211</v>
      </c>
      <c r="AA11" s="98">
        <v>1.01</v>
      </c>
      <c r="AB11" s="99" t="s">
        <v>106</v>
      </c>
      <c r="AC11" s="29">
        <f t="shared" si="5"/>
        <v>4450648.3149999995</v>
      </c>
    </row>
    <row r="12" spans="1:30" ht="16.5" hidden="1" customHeight="1" thickBot="1">
      <c r="A12" s="313" t="s">
        <v>194</v>
      </c>
      <c r="B12" s="313" t="s">
        <v>64</v>
      </c>
      <c r="C12" s="162" t="s">
        <v>76</v>
      </c>
      <c r="D12" s="163">
        <v>115</v>
      </c>
      <c r="E12" s="163">
        <v>3.5</v>
      </c>
      <c r="F12" s="163">
        <f t="shared" si="0"/>
        <v>118.5</v>
      </c>
      <c r="G12" s="164">
        <v>0</v>
      </c>
      <c r="H12" s="164">
        <v>0</v>
      </c>
      <c r="I12" s="164"/>
      <c r="J12" s="49"/>
      <c r="K12" s="164"/>
      <c r="L12" s="164">
        <f t="shared" si="1"/>
        <v>118.5</v>
      </c>
      <c r="M12" s="164">
        <v>1.0999999999999999E-2</v>
      </c>
      <c r="N12" s="164"/>
      <c r="O12" s="176">
        <f>SUM((D12*(1+M12)*$AA$5*$AA$12)+(E12*$AA$9)+(G12*$AA$5)+(H12*$AA$8)+(I12*$AA$7)+(K12*$AA$6))+($R12*$AA$10-$AA$10)+(27000)</f>
        <v>4846789.2131249988</v>
      </c>
      <c r="P12" s="626">
        <f t="shared" si="6"/>
        <v>623781.77172918722</v>
      </c>
      <c r="Q12" s="626">
        <f t="shared" si="4"/>
        <v>4223007.4413958117</v>
      </c>
      <c r="R12" s="167">
        <v>2</v>
      </c>
      <c r="S12" s="634" t="s">
        <v>228</v>
      </c>
      <c r="T12" s="200" t="s">
        <v>211</v>
      </c>
      <c r="U12" s="201">
        <v>8</v>
      </c>
      <c r="V12" s="202">
        <v>42855</v>
      </c>
      <c r="W12" s="203" t="s">
        <v>141</v>
      </c>
      <c r="X12" s="319" t="s">
        <v>122</v>
      </c>
      <c r="Y12" s="119"/>
      <c r="Z12" s="95">
        <f t="shared" si="2"/>
        <v>40901.174794303784</v>
      </c>
      <c r="AA12" s="98">
        <v>1.0249999999999999</v>
      </c>
      <c r="AB12" s="99" t="s">
        <v>31</v>
      </c>
      <c r="AC12" s="29">
        <f t="shared" si="5"/>
        <v>4555981.8603374986</v>
      </c>
    </row>
    <row r="13" spans="1:30" ht="16.5" hidden="1" customHeight="1" thickBot="1">
      <c r="A13" s="313" t="s">
        <v>194</v>
      </c>
      <c r="B13" s="314" t="s">
        <v>68</v>
      </c>
      <c r="C13" s="42" t="s">
        <v>77</v>
      </c>
      <c r="D13" s="38">
        <v>114</v>
      </c>
      <c r="E13" s="38">
        <v>3.5</v>
      </c>
      <c r="F13" s="38">
        <f t="shared" si="0"/>
        <v>117.5</v>
      </c>
      <c r="G13" s="31">
        <v>0</v>
      </c>
      <c r="H13" s="31">
        <v>0</v>
      </c>
      <c r="I13" s="31">
        <v>0</v>
      </c>
      <c r="J13" s="51"/>
      <c r="K13" s="31"/>
      <c r="L13" s="31">
        <f t="shared" si="1"/>
        <v>117.5</v>
      </c>
      <c r="M13" s="31"/>
      <c r="N13" s="31"/>
      <c r="O13" s="176">
        <f>SUM((D13*(1+M13)*$AA$5*$AA$12)+(E13*$AA$9)+(G13*$AA$5)+(H13*$AA$8)+(I13*$AA$7)+(K13*$AA$6))+($R13*$AA$10-$AA$10)+(27000)</f>
        <v>4760691.75</v>
      </c>
      <c r="P13" s="626">
        <f t="shared" si="6"/>
        <v>612701.0282249999</v>
      </c>
      <c r="Q13" s="626">
        <f t="shared" si="4"/>
        <v>4147990.721775</v>
      </c>
      <c r="R13" s="44">
        <v>2</v>
      </c>
      <c r="S13" s="603" t="s">
        <v>228</v>
      </c>
      <c r="T13" s="203" t="s">
        <v>222</v>
      </c>
      <c r="U13" s="201">
        <v>9</v>
      </c>
      <c r="V13" s="202">
        <v>42910</v>
      </c>
      <c r="W13" s="203" t="s">
        <v>114</v>
      </c>
      <c r="X13" s="204" t="s">
        <v>119</v>
      </c>
      <c r="Y13" s="85"/>
      <c r="Z13" s="95">
        <f t="shared" si="2"/>
        <v>40516.525531914893</v>
      </c>
      <c r="AA13" s="98">
        <v>1.04</v>
      </c>
      <c r="AB13" s="99" t="s">
        <v>105</v>
      </c>
      <c r="AC13" s="29">
        <f t="shared" si="5"/>
        <v>4475050.2450000001</v>
      </c>
    </row>
    <row r="14" spans="1:30" ht="16.5" customHeight="1" thickBot="1">
      <c r="A14" s="313" t="s">
        <v>194</v>
      </c>
      <c r="B14" s="314" t="s">
        <v>68</v>
      </c>
      <c r="C14" s="42" t="s">
        <v>78</v>
      </c>
      <c r="D14" s="38">
        <v>114</v>
      </c>
      <c r="E14" s="38">
        <v>3.5</v>
      </c>
      <c r="F14" s="38">
        <f t="shared" si="0"/>
        <v>117.5</v>
      </c>
      <c r="G14" s="31">
        <v>0</v>
      </c>
      <c r="H14" s="31">
        <v>0</v>
      </c>
      <c r="I14" s="31">
        <v>0</v>
      </c>
      <c r="J14" s="49"/>
      <c r="K14" s="31"/>
      <c r="L14" s="31">
        <f t="shared" si="1"/>
        <v>117.5</v>
      </c>
      <c r="M14" s="31">
        <v>5.5E-2</v>
      </c>
      <c r="N14" s="31"/>
      <c r="O14" s="176">
        <f>SUM((D14*(1+M14)*$AA$5*$AA$12)+(E14*$AA$9)+(G14*$AA$5)+(H14*$AA$8)+(I14*$AA$7)+(K14*$AA$6))+($R14*$AA$10-$AA$10)+(27000)</f>
        <v>4999027.7737499997</v>
      </c>
      <c r="P14" s="628">
        <f>O14*5.99%</f>
        <v>299441.76364762499</v>
      </c>
      <c r="Q14" s="628">
        <f t="shared" si="4"/>
        <v>4699586.0101023745</v>
      </c>
      <c r="R14" s="44">
        <v>2</v>
      </c>
      <c r="S14" s="44" t="s">
        <v>334</v>
      </c>
      <c r="T14" s="598" t="s">
        <v>313</v>
      </c>
      <c r="U14" s="44">
        <v>19</v>
      </c>
      <c r="V14" s="69">
        <v>43424</v>
      </c>
      <c r="W14" s="604" t="s">
        <v>114</v>
      </c>
      <c r="X14" s="604" t="s">
        <v>118</v>
      </c>
      <c r="Y14" s="85"/>
      <c r="Z14" s="95">
        <f t="shared" si="2"/>
        <v>42544.917223404256</v>
      </c>
      <c r="AA14" s="353">
        <v>1.08</v>
      </c>
      <c r="AB14" s="97" t="s">
        <v>33</v>
      </c>
      <c r="AC14" s="29">
        <f t="shared" si="5"/>
        <v>4699086.1073249998</v>
      </c>
    </row>
    <row r="15" spans="1:30" ht="16.5" hidden="1" customHeight="1" thickBot="1">
      <c r="A15" s="313" t="s">
        <v>194</v>
      </c>
      <c r="B15" s="693" t="s">
        <v>64</v>
      </c>
      <c r="C15" s="45" t="s">
        <v>79</v>
      </c>
      <c r="D15" s="46">
        <v>115</v>
      </c>
      <c r="E15" s="46">
        <v>3.5</v>
      </c>
      <c r="F15" s="46">
        <f t="shared" si="0"/>
        <v>118.5</v>
      </c>
      <c r="G15" s="47">
        <v>0</v>
      </c>
      <c r="H15" s="47">
        <v>0</v>
      </c>
      <c r="I15" s="47">
        <v>0</v>
      </c>
      <c r="J15" s="51"/>
      <c r="K15" s="47"/>
      <c r="L15" s="47">
        <f t="shared" si="1"/>
        <v>118.5</v>
      </c>
      <c r="M15" s="47">
        <v>5.5E-2</v>
      </c>
      <c r="N15" s="47"/>
      <c r="O15" s="176">
        <f>SUM((D15*(1+M15)*$AA$5*$AA$12)+(E15*$AA$9)+(G15*$AA$5)+(H15*$AA$8)+(I15*$AA$7)+(K15*$AA$6))+($R15*$AA$10-$AA$10)+(27000)</f>
        <v>5039130.5656249998</v>
      </c>
      <c r="P15" s="628">
        <f t="shared" ref="P15:P17" si="7">O15*6.99%</f>
        <v>352235.22653718753</v>
      </c>
      <c r="Q15" s="628">
        <f t="shared" si="4"/>
        <v>4686895.3390878122</v>
      </c>
      <c r="R15" s="63">
        <v>2</v>
      </c>
      <c r="S15" s="636" t="s">
        <v>228</v>
      </c>
      <c r="T15" s="636" t="s">
        <v>312</v>
      </c>
      <c r="U15" s="63"/>
      <c r="V15" s="70"/>
      <c r="W15" s="70"/>
      <c r="X15" s="70"/>
      <c r="Y15" s="91"/>
      <c r="Z15" s="95">
        <f t="shared" si="2"/>
        <v>42524.308570675101</v>
      </c>
      <c r="AA15" s="98">
        <v>1.1499999999999999</v>
      </c>
      <c r="AB15" s="28"/>
      <c r="AC15" s="29">
        <f t="shared" si="5"/>
        <v>4736782.7316874992</v>
      </c>
    </row>
    <row r="16" spans="1:30" ht="16.5" hidden="1" customHeight="1" thickBot="1">
      <c r="A16" s="313" t="s">
        <v>194</v>
      </c>
      <c r="B16" s="313" t="s">
        <v>64</v>
      </c>
      <c r="C16" s="36" t="s">
        <v>80</v>
      </c>
      <c r="D16" s="37">
        <v>115</v>
      </c>
      <c r="E16" s="37">
        <v>3.5</v>
      </c>
      <c r="F16" s="37">
        <f t="shared" si="0"/>
        <v>118.5</v>
      </c>
      <c r="G16" s="32">
        <v>0</v>
      </c>
      <c r="H16" s="32">
        <v>0</v>
      </c>
      <c r="I16" s="32">
        <v>0</v>
      </c>
      <c r="J16" s="49"/>
      <c r="K16" s="32"/>
      <c r="L16" s="32">
        <f t="shared" si="1"/>
        <v>118.5</v>
      </c>
      <c r="M16" s="32">
        <v>1.0999999999999999E-2</v>
      </c>
      <c r="N16" s="32"/>
      <c r="O16" s="176">
        <f>SUM((D16*(1+M16)*$AA$5*$AA$13)+(E16*$AA$9)+(G16*$AA$5)+(H16*$AA$8)+(I16*$AA$7)+(K16*$AA$6))+($R16*$AA$10-$AA$10)+(27000)</f>
        <v>4911464.5259999996</v>
      </c>
      <c r="P16" s="628">
        <f t="shared" si="7"/>
        <v>343311.3703674</v>
      </c>
      <c r="Q16" s="628">
        <f t="shared" si="4"/>
        <v>4568153.1556325993</v>
      </c>
      <c r="R16" s="40">
        <v>2</v>
      </c>
      <c r="S16" s="596" t="s">
        <v>228</v>
      </c>
      <c r="T16" s="40" t="s">
        <v>232</v>
      </c>
      <c r="U16" s="40">
        <v>9</v>
      </c>
      <c r="V16" s="68">
        <v>42943</v>
      </c>
      <c r="W16" s="68" t="s">
        <v>107</v>
      </c>
      <c r="X16" s="68" t="s">
        <v>223</v>
      </c>
      <c r="Y16" s="78"/>
      <c r="Z16" s="95">
        <f t="shared" si="2"/>
        <v>41446.958025316453</v>
      </c>
      <c r="AA16" s="96"/>
      <c r="AB16" s="28"/>
      <c r="AC16" s="29">
        <f t="shared" si="5"/>
        <v>4616776.6544399997</v>
      </c>
    </row>
    <row r="17" spans="1:264" ht="16.5" hidden="1" customHeight="1" thickBot="1">
      <c r="A17" s="313" t="s">
        <v>194</v>
      </c>
      <c r="B17" s="314" t="s">
        <v>68</v>
      </c>
      <c r="C17" s="42" t="s">
        <v>81</v>
      </c>
      <c r="D17" s="38">
        <v>114</v>
      </c>
      <c r="E17" s="38">
        <v>3.5</v>
      </c>
      <c r="F17" s="38">
        <f t="shared" si="0"/>
        <v>117.5</v>
      </c>
      <c r="G17" s="31">
        <v>0</v>
      </c>
      <c r="H17" s="31">
        <v>0</v>
      </c>
      <c r="I17" s="31">
        <v>0</v>
      </c>
      <c r="J17" s="51"/>
      <c r="K17" s="31"/>
      <c r="L17" s="31">
        <f t="shared" si="1"/>
        <v>117.5</v>
      </c>
      <c r="M17" s="31"/>
      <c r="N17" s="31"/>
      <c r="O17" s="176">
        <f>SUM((D17*(1+M17)*$AA$5*$AA$13)+(E17*$AA$9)+(G17*$AA$5)+(H17*$AA$8)+(I17*$AA$7)+(K17*$AA$6))+($R17*$AA$10-$AA$10)+(27000)</f>
        <v>4824107.1000000006</v>
      </c>
      <c r="P17" s="628">
        <f t="shared" si="7"/>
        <v>337205.08629000006</v>
      </c>
      <c r="Q17" s="628">
        <f t="shared" si="4"/>
        <v>4486902.0137100006</v>
      </c>
      <c r="R17" s="44">
        <v>2</v>
      </c>
      <c r="S17" s="185" t="s">
        <v>228</v>
      </c>
      <c r="T17" s="185" t="s">
        <v>212</v>
      </c>
      <c r="U17" s="44">
        <v>8</v>
      </c>
      <c r="V17" s="69">
        <v>42835</v>
      </c>
      <c r="W17" s="185" t="s">
        <v>141</v>
      </c>
      <c r="X17" s="320" t="s">
        <v>118</v>
      </c>
      <c r="Y17" s="85"/>
      <c r="Z17" s="95">
        <f t="shared" si="2"/>
        <v>41056.230638297879</v>
      </c>
      <c r="AA17" s="96"/>
      <c r="AB17" s="28"/>
      <c r="AC17" s="29">
        <f t="shared" si="5"/>
        <v>4534660.6740000006</v>
      </c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  <c r="IW17" s="30"/>
      <c r="IX17" s="30"/>
      <c r="IY17" s="30"/>
      <c r="IZ17" s="30"/>
      <c r="JA17" s="30"/>
      <c r="JB17" s="30"/>
      <c r="JC17" s="30"/>
      <c r="JD17" s="30"/>
    </row>
    <row r="18" spans="1:264" ht="16.5" customHeight="1" thickBot="1">
      <c r="A18" s="313" t="s">
        <v>194</v>
      </c>
      <c r="B18" s="314" t="s">
        <v>68</v>
      </c>
      <c r="C18" s="42" t="s">
        <v>82</v>
      </c>
      <c r="D18" s="38">
        <v>114</v>
      </c>
      <c r="E18" s="38">
        <v>3.5</v>
      </c>
      <c r="F18" s="38">
        <f t="shared" si="0"/>
        <v>117.5</v>
      </c>
      <c r="G18" s="31">
        <v>0</v>
      </c>
      <c r="H18" s="31">
        <v>0</v>
      </c>
      <c r="I18" s="31">
        <v>0</v>
      </c>
      <c r="J18" s="49"/>
      <c r="K18" s="31"/>
      <c r="L18" s="31">
        <f t="shared" si="1"/>
        <v>117.5</v>
      </c>
      <c r="M18" s="31">
        <v>5.5E-2</v>
      </c>
      <c r="N18" s="31"/>
      <c r="O18" s="176">
        <f>SUM((D18*(1+M18)*$AA$5*$AA$13)+(E18*$AA$9)+(G18*$AA$5)+(H18*$AA$8)+(I18*$AA$7)+(K18*$AA$6))+($R18*$AA$10-$AA$10)+(27000)</f>
        <v>5065930.9680000003</v>
      </c>
      <c r="P18" s="628">
        <f>O18*5.99%</f>
        <v>303449.2649832</v>
      </c>
      <c r="Q18" s="628">
        <f t="shared" si="4"/>
        <v>4762481.7030168008</v>
      </c>
      <c r="R18" s="44">
        <v>2</v>
      </c>
      <c r="S18" s="637" t="s">
        <v>108</v>
      </c>
      <c r="T18" s="637" t="s">
        <v>315</v>
      </c>
      <c r="U18" s="44">
        <v>20</v>
      </c>
      <c r="V18" s="69">
        <v>43475</v>
      </c>
      <c r="W18" s="637" t="s">
        <v>114</v>
      </c>
      <c r="X18" s="694" t="s">
        <v>123</v>
      </c>
      <c r="Y18" s="85"/>
      <c r="Z18" s="95">
        <f t="shared" si="2"/>
        <v>43114.306110638303</v>
      </c>
      <c r="AA18" s="96"/>
      <c r="AB18" s="28"/>
      <c r="AC18" s="29">
        <f t="shared" si="5"/>
        <v>4761975.1099199997</v>
      </c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  <c r="IW18" s="30"/>
      <c r="IX18" s="30"/>
      <c r="IY18" s="30"/>
      <c r="IZ18" s="30"/>
      <c r="JA18" s="30"/>
      <c r="JB18" s="30"/>
      <c r="JC18" s="30"/>
      <c r="JD18" s="30"/>
    </row>
    <row r="19" spans="1:264" ht="16.5" customHeight="1" thickBot="1">
      <c r="A19" s="276" t="s">
        <v>194</v>
      </c>
      <c r="B19" s="278" t="s">
        <v>64</v>
      </c>
      <c r="C19" s="87" t="s">
        <v>83</v>
      </c>
      <c r="D19" s="88">
        <v>115</v>
      </c>
      <c r="E19" s="88">
        <v>3.5</v>
      </c>
      <c r="F19" s="88">
        <f t="shared" si="0"/>
        <v>118.5</v>
      </c>
      <c r="G19" s="89">
        <v>0</v>
      </c>
      <c r="H19" s="89">
        <v>0</v>
      </c>
      <c r="I19" s="89">
        <v>0</v>
      </c>
      <c r="J19" s="90"/>
      <c r="K19" s="89"/>
      <c r="L19" s="89">
        <f t="shared" si="1"/>
        <v>118.5</v>
      </c>
      <c r="M19" s="89">
        <v>5.5E-2</v>
      </c>
      <c r="N19" s="89"/>
      <c r="O19" s="126">
        <f>SUM((D19*(1+M19)*$AA$5*$AA$13)+(E19*$AA$9)+(G19*$AA$5)+(H19*$AA$8)+(I19*$AA$7)+(K19*$AA$6))+($R19*$AA$10-$AA$10)+(27000)</f>
        <v>5106620.63</v>
      </c>
      <c r="P19" s="626">
        <f>O19*5.99%</f>
        <v>305886.57573699998</v>
      </c>
      <c r="Q19" s="626">
        <f t="shared" si="4"/>
        <v>4800734.0542629994</v>
      </c>
      <c r="R19" s="91">
        <v>2</v>
      </c>
      <c r="S19" s="275"/>
      <c r="T19" s="275"/>
      <c r="U19" s="91"/>
      <c r="V19" s="92"/>
      <c r="W19" s="275"/>
      <c r="X19" s="274"/>
      <c r="Y19" s="91"/>
      <c r="Z19" s="95">
        <f t="shared" si="2"/>
        <v>43093.844978902955</v>
      </c>
      <c r="AA19" s="96"/>
      <c r="AB19" s="28"/>
      <c r="AC19" s="29">
        <f t="shared" si="5"/>
        <v>4800223.3921999997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  <c r="IW19" s="30"/>
      <c r="IX19" s="30"/>
      <c r="IY19" s="30"/>
      <c r="IZ19" s="30"/>
      <c r="JA19" s="30"/>
      <c r="JB19" s="30"/>
      <c r="JC19" s="30"/>
      <c r="JD19" s="30"/>
    </row>
    <row r="20" spans="1:264" ht="16.5" customHeight="1" thickBot="1">
      <c r="A20" s="313" t="s">
        <v>194</v>
      </c>
      <c r="B20" s="313" t="s">
        <v>64</v>
      </c>
      <c r="C20" s="36" t="s">
        <v>84</v>
      </c>
      <c r="D20" s="37">
        <v>115</v>
      </c>
      <c r="E20" s="37">
        <v>3.5</v>
      </c>
      <c r="F20" s="37">
        <f t="shared" si="0"/>
        <v>118.5</v>
      </c>
      <c r="G20" s="32">
        <v>0</v>
      </c>
      <c r="H20" s="32">
        <v>0</v>
      </c>
      <c r="I20" s="37">
        <v>99</v>
      </c>
      <c r="J20" s="52"/>
      <c r="K20" s="32"/>
      <c r="L20" s="32">
        <f t="shared" si="1"/>
        <v>217.5</v>
      </c>
      <c r="M20" s="32">
        <v>7.4300000000000005E-2</v>
      </c>
      <c r="N20" s="32"/>
      <c r="O20" s="176">
        <f>SUM((D20*(1+M20)*$AA$5*$AA$14)+(E20*$AA$9)+(G20*$AA$5)+(H20*$AA$8)+(I20*$AA$7)+(K20*$AA$6))+($R20*$AA$10-$AA$10)+(27000)</f>
        <v>6678428.1051000003</v>
      </c>
      <c r="P20" s="628">
        <f>O20*11.99%</f>
        <v>800743.52980149013</v>
      </c>
      <c r="Q20" s="628">
        <f t="shared" si="4"/>
        <v>5877684.5752985105</v>
      </c>
      <c r="R20" s="40">
        <v>2</v>
      </c>
      <c r="S20" s="40" t="s">
        <v>334</v>
      </c>
      <c r="T20" s="597" t="s">
        <v>310</v>
      </c>
      <c r="U20" s="40">
        <v>20</v>
      </c>
      <c r="V20" s="68">
        <v>43485</v>
      </c>
      <c r="W20" s="695" t="s">
        <v>107</v>
      </c>
      <c r="X20" s="695" t="s">
        <v>119</v>
      </c>
      <c r="Y20" s="78"/>
      <c r="Z20" s="95">
        <f t="shared" si="2"/>
        <v>56358.043081012664</v>
      </c>
      <c r="AA20" s="96"/>
      <c r="AB20" s="28"/>
      <c r="AC20" s="29">
        <f t="shared" si="5"/>
        <v>6277722.4187939996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  <c r="IW20" s="30"/>
      <c r="IX20" s="30"/>
      <c r="IY20" s="30"/>
      <c r="IZ20" s="30"/>
      <c r="JA20" s="30"/>
      <c r="JB20" s="30"/>
      <c r="JC20" s="30"/>
      <c r="JD20" s="30"/>
    </row>
    <row r="21" spans="1:264" ht="16.5" customHeight="1" thickBot="1">
      <c r="A21" s="276" t="s">
        <v>194</v>
      </c>
      <c r="B21" s="277" t="s">
        <v>68</v>
      </c>
      <c r="C21" s="122" t="s">
        <v>85</v>
      </c>
      <c r="D21" s="123">
        <v>114</v>
      </c>
      <c r="E21" s="123">
        <v>3.5</v>
      </c>
      <c r="F21" s="123">
        <f t="shared" si="0"/>
        <v>117.5</v>
      </c>
      <c r="G21" s="124">
        <v>0</v>
      </c>
      <c r="H21" s="124">
        <v>0</v>
      </c>
      <c r="I21" s="123">
        <v>99.1</v>
      </c>
      <c r="J21" s="125"/>
      <c r="K21" s="124">
        <v>0</v>
      </c>
      <c r="L21" s="124">
        <f t="shared" si="1"/>
        <v>216.6</v>
      </c>
      <c r="M21" s="124">
        <v>5.5E-2</v>
      </c>
      <c r="N21" s="124"/>
      <c r="O21" s="126">
        <f>SUM((D21*(1+M21)*$AA$5*$AA$14)+(E21*$AA$9)+(G21*$AA$5)+(H21*$AA$8)+(I21*$AA$7)+(K21*$AA$6))+($R21*$AA$10-$AA$10)+(27000)</f>
        <v>6548594.5860000001</v>
      </c>
      <c r="P21" s="626">
        <f>O21*11.99%</f>
        <v>785176.49086140003</v>
      </c>
      <c r="Q21" s="626">
        <f t="shared" si="4"/>
        <v>5763418.0951386001</v>
      </c>
      <c r="R21" s="127">
        <v>2</v>
      </c>
      <c r="S21" s="127"/>
      <c r="T21" s="127"/>
      <c r="U21" s="127"/>
      <c r="V21" s="128"/>
      <c r="W21" s="128"/>
      <c r="X21" s="128"/>
      <c r="Y21" s="127"/>
      <c r="Z21" s="95">
        <f t="shared" si="2"/>
        <v>55732.719880851066</v>
      </c>
      <c r="AA21" s="96"/>
      <c r="AB21" s="28"/>
      <c r="AC21" s="29">
        <f t="shared" si="5"/>
        <v>6155678.91084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  <c r="IW21" s="30"/>
      <c r="IX21" s="30"/>
      <c r="IY21" s="30"/>
      <c r="IZ21" s="30"/>
      <c r="JA21" s="30"/>
      <c r="JB21" s="30"/>
      <c r="JC21" s="30"/>
      <c r="JD21" s="30"/>
    </row>
    <row r="22" spans="1:264" ht="16.5" hidden="1" customHeight="1" thickBot="1">
      <c r="A22" s="276" t="s">
        <v>194</v>
      </c>
      <c r="B22" s="277" t="s">
        <v>68</v>
      </c>
      <c r="C22" s="42" t="s">
        <v>86</v>
      </c>
      <c r="D22" s="38">
        <v>114</v>
      </c>
      <c r="E22" s="38">
        <v>3.5</v>
      </c>
      <c r="F22" s="38">
        <f t="shared" si="0"/>
        <v>117.5</v>
      </c>
      <c r="G22" s="31">
        <v>0</v>
      </c>
      <c r="H22" s="31">
        <v>0</v>
      </c>
      <c r="I22" s="38">
        <v>99.1</v>
      </c>
      <c r="J22" s="53"/>
      <c r="K22" s="31">
        <v>0</v>
      </c>
      <c r="L22" s="31">
        <f t="shared" si="1"/>
        <v>216.6</v>
      </c>
      <c r="M22" s="31">
        <v>5.5E-2</v>
      </c>
      <c r="N22" s="31"/>
      <c r="O22" s="176">
        <f>SUM((D22*(1+M22)*$AA$5*$AA$14)+(E22*$AA$9)+(G22*$AA$5)+(H22*$AA$8)+(I22*$AA$7)+(K22*$AA$6))+($R22*$AA$10-$AA$10)+(27000)</f>
        <v>6548594.5860000001</v>
      </c>
      <c r="P22" s="628">
        <f t="shared" si="6"/>
        <v>842804.12321819994</v>
      </c>
      <c r="Q22" s="628">
        <f t="shared" si="4"/>
        <v>5705790.4627818</v>
      </c>
      <c r="R22" s="44">
        <v>2</v>
      </c>
      <c r="S22" s="598" t="s">
        <v>108</v>
      </c>
      <c r="T22" s="598" t="s">
        <v>314</v>
      </c>
      <c r="U22" s="44">
        <v>20</v>
      </c>
      <c r="V22" s="86">
        <v>43472</v>
      </c>
      <c r="W22" s="638" t="s">
        <v>316</v>
      </c>
      <c r="X22" s="638" t="s">
        <v>115</v>
      </c>
      <c r="Y22" s="85"/>
      <c r="Z22" s="95">
        <f t="shared" si="2"/>
        <v>55732.719880851066</v>
      </c>
      <c r="AA22" s="96"/>
      <c r="AB22" s="28"/>
      <c r="AC22" s="29">
        <f t="shared" si="5"/>
        <v>6155678.91084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  <c r="IW22" s="30"/>
      <c r="IX22" s="30"/>
      <c r="IY22" s="30"/>
      <c r="IZ22" s="30"/>
      <c r="JA22" s="30"/>
      <c r="JB22" s="30"/>
      <c r="JC22" s="30"/>
      <c r="JD22" s="30"/>
    </row>
    <row r="23" spans="1:264" ht="15" customHeight="1">
      <c r="A23" s="276" t="s">
        <v>194</v>
      </c>
      <c r="B23" s="277" t="s">
        <v>64</v>
      </c>
      <c r="C23" s="81" t="s">
        <v>87</v>
      </c>
      <c r="D23" s="82">
        <v>115</v>
      </c>
      <c r="E23" s="82">
        <v>3.5</v>
      </c>
      <c r="F23" s="82">
        <f t="shared" si="0"/>
        <v>118.5</v>
      </c>
      <c r="G23" s="83">
        <v>0</v>
      </c>
      <c r="H23" s="83">
        <v>0</v>
      </c>
      <c r="I23" s="82">
        <v>99</v>
      </c>
      <c r="J23" s="94"/>
      <c r="K23" s="83"/>
      <c r="L23" s="83">
        <f t="shared" si="1"/>
        <v>217.5</v>
      </c>
      <c r="M23" s="83">
        <v>5.5E-2</v>
      </c>
      <c r="N23" s="83"/>
      <c r="O23" s="126">
        <f>SUM((D23*(1+M23)*$AA$5*$AA$14)+(E23*$AA$9)+(G23*$AA$5)+(H23*$AA$8)+(I23*$AA$7)+(K23*$AA$6))+($R23*$AA$10-$AA$10)+(27000)</f>
        <v>6589533.1350000007</v>
      </c>
      <c r="P23" s="626">
        <f>O23*11.99%</f>
        <v>790085.02288650011</v>
      </c>
      <c r="Q23" s="626">
        <f t="shared" si="4"/>
        <v>5799448.1121135009</v>
      </c>
      <c r="R23" s="85">
        <v>2</v>
      </c>
      <c r="S23" s="85"/>
      <c r="T23" s="85"/>
      <c r="U23" s="85"/>
      <c r="V23" s="86"/>
      <c r="W23" s="86"/>
      <c r="X23" s="86"/>
      <c r="Y23" s="85"/>
      <c r="Z23" s="95">
        <f t="shared" si="2"/>
        <v>55607.87455696203</v>
      </c>
      <c r="AA23" s="100"/>
      <c r="AB23" s="101"/>
      <c r="AC23" s="29">
        <f t="shared" si="5"/>
        <v>6194161.1469000001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  <c r="IW23" s="30"/>
      <c r="IX23" s="30"/>
      <c r="IY23" s="30"/>
      <c r="IZ23" s="30"/>
      <c r="JA23" s="30"/>
      <c r="JB23" s="30"/>
      <c r="JC23" s="30"/>
      <c r="JD23" s="30"/>
    </row>
    <row r="24" spans="1:264" ht="15" hidden="1" customHeight="1">
      <c r="A24" s="106"/>
      <c r="B24" s="106"/>
      <c r="C24" s="258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8"/>
      <c r="P24" s="626">
        <f t="shared" si="6"/>
        <v>0</v>
      </c>
      <c r="Q24" s="108"/>
      <c r="R24" s="106"/>
      <c r="S24" s="106"/>
      <c r="T24" s="106"/>
      <c r="U24" s="106"/>
      <c r="V24" s="259"/>
      <c r="W24" s="259"/>
      <c r="X24" s="259"/>
      <c r="Y24" s="106"/>
      <c r="Z24" s="106"/>
      <c r="AA24" s="101"/>
      <c r="AB24" s="101"/>
      <c r="AC24" s="29">
        <f t="shared" si="5"/>
        <v>0</v>
      </c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  <c r="IW24" s="30"/>
      <c r="IX24" s="30"/>
      <c r="IY24" s="30"/>
      <c r="IZ24" s="30"/>
      <c r="JA24" s="30"/>
      <c r="JB24" s="30"/>
      <c r="JC24" s="30"/>
      <c r="JD24" s="30"/>
    </row>
    <row r="25" spans="1:264" ht="15" hidden="1" customHeight="1">
      <c r="A25" s="101"/>
      <c r="B25" s="101"/>
      <c r="C25" s="260"/>
      <c r="D25" s="261">
        <f t="shared" ref="D25:I25" si="8">SUM(D4:D24)</f>
        <v>2275</v>
      </c>
      <c r="E25" s="261">
        <f t="shared" si="8"/>
        <v>72.5</v>
      </c>
      <c r="F25" s="261">
        <f t="shared" si="8"/>
        <v>2347.5</v>
      </c>
      <c r="G25" s="261">
        <f t="shared" si="8"/>
        <v>0</v>
      </c>
      <c r="H25" s="261">
        <f t="shared" si="8"/>
        <v>326.2</v>
      </c>
      <c r="I25" s="261">
        <f t="shared" si="8"/>
        <v>396.2</v>
      </c>
      <c r="J25" s="261"/>
      <c r="K25" s="261"/>
      <c r="L25" s="261">
        <f>SUM(L4:L24)</f>
        <v>3069.8999999999996</v>
      </c>
      <c r="M25" s="261"/>
      <c r="N25" s="261"/>
      <c r="O25" s="131">
        <f>SUM(O5:O24)</f>
        <v>104712848.95384999</v>
      </c>
      <c r="P25" s="626">
        <f t="shared" si="6"/>
        <v>13476543.660360491</v>
      </c>
      <c r="Q25" s="131"/>
      <c r="R25" s="101"/>
      <c r="S25" s="101"/>
      <c r="T25" s="101"/>
      <c r="U25" s="101"/>
      <c r="V25" s="262"/>
      <c r="W25" s="262"/>
      <c r="X25" s="262"/>
      <c r="Y25" s="101"/>
      <c r="Z25" s="101"/>
      <c r="AA25" s="263"/>
      <c r="AB25" s="101"/>
      <c r="AC25" s="29">
        <f t="shared" si="5"/>
        <v>98430078.016618982</v>
      </c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  <c r="IW25" s="30"/>
      <c r="IX25" s="30"/>
      <c r="IY25" s="30"/>
      <c r="IZ25" s="30"/>
      <c r="JA25" s="30"/>
      <c r="JB25" s="30"/>
      <c r="JC25" s="30"/>
      <c r="JD25" s="30"/>
    </row>
    <row r="26" spans="1:264" ht="15" hidden="1" customHeight="1">
      <c r="P26" s="626">
        <f t="shared" si="6"/>
        <v>0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  <c r="IW26" s="30"/>
      <c r="IX26" s="30"/>
      <c r="IY26" s="30"/>
      <c r="IZ26" s="30"/>
      <c r="JA26" s="30"/>
      <c r="JB26" s="30"/>
      <c r="JC26" s="30"/>
      <c r="JD26" s="30"/>
    </row>
  </sheetData>
  <mergeCells count="1">
    <mergeCell ref="I2:J2"/>
  </mergeCells>
  <phoneticPr fontId="13" type="noConversion"/>
  <pageMargins left="0.75000000000000011" right="0.75000000000000011" top="1" bottom="1" header="0.5" footer="0.5"/>
  <pageSetup scale="46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/>
    <pageSetUpPr fitToPage="1"/>
  </sheetPr>
  <dimension ref="A1:JD26"/>
  <sheetViews>
    <sheetView zoomScale="90" zoomScaleNormal="90" zoomScalePageLayoutView="150" workbookViewId="0">
      <selection activeCell="W28" sqref="W28"/>
    </sheetView>
  </sheetViews>
  <sheetFormatPr baseColWidth="10" defaultColWidth="6.84375" defaultRowHeight="15" customHeight="1"/>
  <cols>
    <col min="1" max="1" width="8" style="26" customWidth="1"/>
    <col min="2" max="2" width="5.765625" style="26" customWidth="1"/>
    <col min="3" max="3" width="5.4609375" style="26" customWidth="1"/>
    <col min="4" max="4" width="6.15234375" style="26" hidden="1" customWidth="1"/>
    <col min="5" max="5" width="4.15234375" style="26" hidden="1" customWidth="1"/>
    <col min="6" max="6" width="6.4609375" style="26" customWidth="1"/>
    <col min="7" max="7" width="21.61328125" style="26" hidden="1" customWidth="1"/>
    <col min="8" max="8" width="6.15234375" style="26" customWidth="1"/>
    <col min="9" max="9" width="7" style="26" customWidth="1"/>
    <col min="10" max="10" width="5.23046875" style="26" customWidth="1"/>
    <col min="11" max="11" width="7.4609375" style="26" customWidth="1"/>
    <col min="12" max="12" width="5.23046875" style="298" hidden="1" customWidth="1"/>
    <col min="13" max="14" width="21.61328125" style="26" hidden="1" customWidth="1"/>
    <col min="15" max="15" width="11" style="26" customWidth="1"/>
    <col min="16" max="16" width="11" style="26" hidden="1" customWidth="1"/>
    <col min="17" max="17" width="11" style="26" customWidth="1"/>
    <col min="18" max="18" width="5.15234375" style="264" customWidth="1"/>
    <col min="19" max="19" width="6.84375" style="264" customWidth="1"/>
    <col min="20" max="20" width="21.61328125" style="264" customWidth="1"/>
    <col min="21" max="21" width="5.23046875" style="264" customWidth="1"/>
    <col min="22" max="22" width="9.23046875" style="265" customWidth="1"/>
    <col min="23" max="23" width="5.23046875" style="265" customWidth="1"/>
    <col min="24" max="24" width="5.61328125" style="330" customWidth="1"/>
    <col min="25" max="25" width="8.3828125" style="264" hidden="1" customWidth="1"/>
    <col min="26" max="29" width="10.765625" style="26" hidden="1" customWidth="1"/>
    <col min="30" max="33" width="10.765625" style="26" customWidth="1"/>
    <col min="34" max="264" width="6.84375" style="26" customWidth="1"/>
    <col min="265" max="16384" width="6.84375" style="30"/>
  </cols>
  <sheetData>
    <row r="1" spans="1:264" ht="33" customHeight="1">
      <c r="A1" s="247" t="s">
        <v>0</v>
      </c>
      <c r="B1" s="129"/>
      <c r="D1" s="129"/>
      <c r="E1" s="129"/>
      <c r="F1" s="129"/>
      <c r="G1" s="129"/>
      <c r="H1" s="129"/>
      <c r="I1" s="129"/>
      <c r="J1" s="244"/>
      <c r="K1" s="129"/>
      <c r="L1" s="291"/>
      <c r="M1" s="129"/>
      <c r="N1" s="129"/>
      <c r="O1" s="129">
        <v>21</v>
      </c>
      <c r="P1" s="129"/>
      <c r="Q1" s="129"/>
      <c r="R1" s="129"/>
      <c r="S1" s="129"/>
      <c r="T1" s="129"/>
      <c r="U1" s="129"/>
      <c r="V1" s="245"/>
      <c r="W1" s="245"/>
      <c r="X1" s="321"/>
      <c r="Y1" s="129"/>
      <c r="Z1" s="246"/>
      <c r="AA1" s="101"/>
      <c r="AB1" s="101"/>
      <c r="AC1" s="101"/>
    </row>
    <row r="2" spans="1:264" ht="33" customHeight="1">
      <c r="A2" s="247" t="s">
        <v>192</v>
      </c>
      <c r="B2" s="130"/>
      <c r="C2" s="130"/>
      <c r="D2" s="130"/>
      <c r="E2" s="130"/>
      <c r="F2" s="130"/>
      <c r="G2" s="130"/>
      <c r="H2" s="130"/>
      <c r="I2" s="734"/>
      <c r="J2" s="734"/>
      <c r="K2" s="248"/>
      <c r="L2" s="292"/>
      <c r="M2" s="130"/>
      <c r="N2" s="130"/>
      <c r="O2" s="663" t="s">
        <v>338</v>
      </c>
      <c r="P2" s="594"/>
      <c r="Q2" s="594">
        <v>19</v>
      </c>
      <c r="R2" s="250"/>
      <c r="S2" s="130"/>
      <c r="T2" s="130"/>
      <c r="U2" s="130"/>
      <c r="V2" s="249"/>
      <c r="W2" s="249"/>
      <c r="X2" s="322"/>
      <c r="Y2" s="340" t="s">
        <v>156</v>
      </c>
      <c r="Z2" s="342"/>
      <c r="AA2" s="341"/>
      <c r="AB2" s="172"/>
      <c r="AC2" s="172"/>
    </row>
    <row r="3" spans="1:264" ht="45.75" customHeight="1" thickBot="1">
      <c r="A3" s="223" t="s">
        <v>1</v>
      </c>
      <c r="B3" s="223" t="s">
        <v>2</v>
      </c>
      <c r="C3" s="223" t="s">
        <v>3</v>
      </c>
      <c r="D3" s="223" t="s">
        <v>62</v>
      </c>
      <c r="E3" s="223" t="s">
        <v>63</v>
      </c>
      <c r="F3" s="223" t="s">
        <v>6</v>
      </c>
      <c r="G3" s="223" t="s">
        <v>7</v>
      </c>
      <c r="H3" s="223" t="s">
        <v>8</v>
      </c>
      <c r="I3" s="223" t="s">
        <v>9</v>
      </c>
      <c r="J3" s="223" t="s">
        <v>147</v>
      </c>
      <c r="K3" s="223" t="s">
        <v>148</v>
      </c>
      <c r="L3" s="225" t="s">
        <v>11</v>
      </c>
      <c r="M3" s="251" t="s">
        <v>146</v>
      </c>
      <c r="N3" s="251"/>
      <c r="O3" s="223" t="s">
        <v>12</v>
      </c>
      <c r="P3" s="223"/>
      <c r="Q3" s="18" t="s">
        <v>326</v>
      </c>
      <c r="R3" s="266" t="s">
        <v>13</v>
      </c>
      <c r="S3" s="266" t="s">
        <v>102</v>
      </c>
      <c r="T3" s="266" t="s">
        <v>95</v>
      </c>
      <c r="U3" s="266" t="s">
        <v>103</v>
      </c>
      <c r="V3" s="267" t="s">
        <v>97</v>
      </c>
      <c r="W3" s="267" t="s">
        <v>98</v>
      </c>
      <c r="X3" s="323" t="s">
        <v>205</v>
      </c>
      <c r="Y3" s="252"/>
      <c r="Z3" s="18" t="s">
        <v>104</v>
      </c>
      <c r="AA3" s="96"/>
      <c r="AB3" s="28"/>
      <c r="AC3" s="101"/>
    </row>
    <row r="4" spans="1:264" s="138" customFormat="1" ht="16.5" hidden="1" customHeight="1" thickBot="1">
      <c r="A4" s="315" t="s">
        <v>193</v>
      </c>
      <c r="B4" s="315" t="s">
        <v>64</v>
      </c>
      <c r="C4" s="162" t="s">
        <v>65</v>
      </c>
      <c r="D4" s="163">
        <v>115</v>
      </c>
      <c r="E4" s="163">
        <v>3.5</v>
      </c>
      <c r="F4" s="163">
        <f t="shared" ref="F4:F23" si="0">D4+E4</f>
        <v>118.5</v>
      </c>
      <c r="G4" s="164">
        <v>0</v>
      </c>
      <c r="H4" s="164">
        <v>73.72</v>
      </c>
      <c r="I4" s="164">
        <v>0</v>
      </c>
      <c r="J4" s="165"/>
      <c r="K4" s="164"/>
      <c r="L4" s="460">
        <f t="shared" ref="L4:L23" si="1">D4+E4+G4+H4+I4+K4</f>
        <v>192.22</v>
      </c>
      <c r="M4" s="164"/>
      <c r="N4" s="164"/>
      <c r="O4" s="310">
        <f>SUM((D4*(1+M4)*$AA$5)+(E4*$AA$9)+(G4*$AA$5)+(H4*$AA$8)+(I4*$AA$7)+(K4*$AA$6))+($R4*$AA$10-$AA$10)+(27000)</f>
        <v>6698068.0600000005</v>
      </c>
      <c r="P4" s="628"/>
      <c r="Q4" s="628"/>
      <c r="R4" s="167">
        <v>2</v>
      </c>
      <c r="S4" s="595" t="s">
        <v>228</v>
      </c>
      <c r="T4" s="596" t="s">
        <v>216</v>
      </c>
      <c r="U4" s="167">
        <v>15</v>
      </c>
      <c r="V4" s="168"/>
      <c r="W4" s="599" t="s">
        <v>124</v>
      </c>
      <c r="X4" s="600"/>
      <c r="Y4" s="119"/>
      <c r="Z4" s="253">
        <f t="shared" ref="Z4:Z23" si="2">O4/F4</f>
        <v>56523.78109704642</v>
      </c>
      <c r="AA4" s="254"/>
      <c r="AB4" s="255"/>
      <c r="AC4" s="256">
        <f t="shared" ref="AC4" si="3">O4*0.94</f>
        <v>6296183.9764</v>
      </c>
      <c r="AD4" s="257"/>
    </row>
    <row r="5" spans="1:264" ht="16.5" customHeight="1" thickBot="1">
      <c r="A5" s="271" t="s">
        <v>193</v>
      </c>
      <c r="B5" s="272" t="s">
        <v>66</v>
      </c>
      <c r="C5" s="81" t="s">
        <v>67</v>
      </c>
      <c r="D5" s="145">
        <v>99</v>
      </c>
      <c r="E5" s="82">
        <v>6</v>
      </c>
      <c r="F5" s="82">
        <f t="shared" si="0"/>
        <v>105</v>
      </c>
      <c r="G5" s="83">
        <v>0</v>
      </c>
      <c r="H5" s="83">
        <v>72.89</v>
      </c>
      <c r="I5" s="83">
        <v>0</v>
      </c>
      <c r="J5" s="84"/>
      <c r="K5" s="83"/>
      <c r="L5" s="293">
        <f t="shared" si="1"/>
        <v>177.89</v>
      </c>
      <c r="M5" s="83"/>
      <c r="N5" s="83"/>
      <c r="O5" s="126">
        <f>SUM((D5*(1+M5)*$AA$5)+(E5*$AA$9)+(G5*$AA$5)+(H5*$AA$8)+(I5*$AA$7)+(K5*$AA$6))+($R5*$AA$10-$AA$10)+(27000)</f>
        <v>6171840.2199999997</v>
      </c>
      <c r="P5" s="126">
        <f>O5*11.99%</f>
        <v>740003.64237799996</v>
      </c>
      <c r="Q5" s="126">
        <f>O5-P5</f>
        <v>5431836.5776220001</v>
      </c>
      <c r="R5" s="85">
        <v>2</v>
      </c>
      <c r="S5" s="78"/>
      <c r="T5" s="85"/>
      <c r="U5" s="85"/>
      <c r="V5" s="86"/>
      <c r="W5" s="86"/>
      <c r="X5" s="324"/>
      <c r="Y5" s="85"/>
      <c r="Z5" s="95">
        <f t="shared" si="2"/>
        <v>58779.430666666667</v>
      </c>
      <c r="AA5" s="120">
        <v>37444</v>
      </c>
      <c r="AB5" s="97" t="s">
        <v>18</v>
      </c>
      <c r="AC5" s="29">
        <f t="shared" ref="AC5:AC25" si="4">+O5*0.94</f>
        <v>5801529.8067999994</v>
      </c>
    </row>
    <row r="6" spans="1:264" ht="16.5" hidden="1" customHeight="1" thickBot="1">
      <c r="A6" s="315" t="s">
        <v>193</v>
      </c>
      <c r="B6" s="316" t="s">
        <v>68</v>
      </c>
      <c r="C6" s="300" t="s">
        <v>69</v>
      </c>
      <c r="D6" s="301">
        <v>114</v>
      </c>
      <c r="E6" s="302">
        <v>3.5</v>
      </c>
      <c r="F6" s="38">
        <f t="shared" si="0"/>
        <v>117.5</v>
      </c>
      <c r="G6" s="31">
        <v>0</v>
      </c>
      <c r="H6" s="31">
        <v>72.95</v>
      </c>
      <c r="I6" s="31">
        <v>0</v>
      </c>
      <c r="J6" s="50"/>
      <c r="K6" s="31"/>
      <c r="L6" s="317">
        <f t="shared" si="1"/>
        <v>190.45</v>
      </c>
      <c r="M6" s="31"/>
      <c r="N6" s="31"/>
      <c r="O6" s="176">
        <f>SUM((D6*(1+M6)*$AA$5)+(E6*$AA$9)+(G6*$AA$5)+(H6*$AA$8)+(I6*$AA$7)+(K6*$AA$6))+($R6*$AA$10-$AA$10)+(27000)</f>
        <v>6640143.5999999996</v>
      </c>
      <c r="P6" s="126">
        <f t="shared" ref="P6:P26" si="5">O6*12.87%</f>
        <v>854586.48131999979</v>
      </c>
      <c r="Q6" s="126">
        <f t="shared" ref="Q6:Q23" si="6">O6-P6</f>
        <v>5785557.1186800003</v>
      </c>
      <c r="R6" s="44">
        <v>2</v>
      </c>
      <c r="S6" s="597" t="s">
        <v>228</v>
      </c>
      <c r="T6" s="598" t="s">
        <v>301</v>
      </c>
      <c r="U6" s="44"/>
      <c r="V6" s="69"/>
      <c r="W6" s="69"/>
      <c r="X6" s="601"/>
      <c r="Y6" s="85"/>
      <c r="Z6" s="95">
        <f t="shared" si="2"/>
        <v>56511.860425531915</v>
      </c>
      <c r="AA6" s="120">
        <v>18700</v>
      </c>
      <c r="AB6" s="97" t="s">
        <v>10</v>
      </c>
      <c r="AC6" s="29">
        <f t="shared" si="4"/>
        <v>6241734.9839999992</v>
      </c>
    </row>
    <row r="7" spans="1:264" ht="16.5" customHeight="1" thickBot="1">
      <c r="A7" s="271" t="s">
        <v>193</v>
      </c>
      <c r="B7" s="273" t="s">
        <v>64</v>
      </c>
      <c r="C7" s="87" t="s">
        <v>70</v>
      </c>
      <c r="D7" s="146">
        <v>115</v>
      </c>
      <c r="E7" s="88">
        <v>3.5</v>
      </c>
      <c r="F7" s="88">
        <f t="shared" si="0"/>
        <v>118.5</v>
      </c>
      <c r="G7" s="89">
        <v>0</v>
      </c>
      <c r="H7" s="89">
        <v>59.58</v>
      </c>
      <c r="I7" s="89">
        <v>0</v>
      </c>
      <c r="J7" s="90"/>
      <c r="K7" s="89"/>
      <c r="L7" s="294">
        <f t="shared" si="1"/>
        <v>178.07999999999998</v>
      </c>
      <c r="M7" s="89"/>
      <c r="N7" s="89"/>
      <c r="O7" s="126">
        <f>SUM((D7*(1+M7)*$AA$5)+(E7*$AA$9)+(G7*$AA$5)+(H7*$AA$8)+(I7*$AA$7)+(K7*$AA$6))+($R7*$AA$10-$AA$10)+(27000)</f>
        <v>6321972.3399999999</v>
      </c>
      <c r="P7" s="126">
        <f>O7*11.99%</f>
        <v>758004.48356600001</v>
      </c>
      <c r="Q7" s="126">
        <f t="shared" si="6"/>
        <v>5563967.8564339997</v>
      </c>
      <c r="R7" s="91">
        <v>2</v>
      </c>
      <c r="S7" s="78"/>
      <c r="T7" s="91"/>
      <c r="U7" s="91"/>
      <c r="V7" s="92"/>
      <c r="W7" s="92"/>
      <c r="X7" s="325"/>
      <c r="Y7" s="91"/>
      <c r="Z7" s="95">
        <f t="shared" si="2"/>
        <v>53349.977552742617</v>
      </c>
      <c r="AA7" s="120">
        <v>13300</v>
      </c>
      <c r="AB7" s="97" t="s">
        <v>9</v>
      </c>
      <c r="AC7" s="29">
        <f t="shared" si="4"/>
        <v>5942653.9995999997</v>
      </c>
    </row>
    <row r="8" spans="1:264" ht="16.5" hidden="1" customHeight="1" thickBot="1">
      <c r="A8" s="315" t="s">
        <v>193</v>
      </c>
      <c r="B8" s="315" t="s">
        <v>64</v>
      </c>
      <c r="C8" s="36" t="s">
        <v>71</v>
      </c>
      <c r="D8" s="37">
        <v>115</v>
      </c>
      <c r="E8" s="37">
        <v>3.5</v>
      </c>
      <c r="F8" s="37">
        <f t="shared" si="0"/>
        <v>118.5</v>
      </c>
      <c r="G8" s="32"/>
      <c r="H8" s="32">
        <v>0</v>
      </c>
      <c r="I8" s="32">
        <v>0</v>
      </c>
      <c r="J8" s="49"/>
      <c r="K8" s="32"/>
      <c r="L8" s="345">
        <f t="shared" si="1"/>
        <v>118.5</v>
      </c>
      <c r="M8" s="31">
        <v>5.5E-2</v>
      </c>
      <c r="N8" s="32"/>
      <c r="O8" s="176">
        <f>SUM((D8*(1+M8)*$AA$5*$AA$11)+(E8*$AA$9)+(G8*$AA$5)+(H8*$AA$8)+(I8*$AA$7)+(K8*$AA$6))+($R8*$AA$10-$AA$10) +(27000)</f>
        <v>5019525.733</v>
      </c>
      <c r="P8" s="126">
        <f t="shared" si="5"/>
        <v>646012.96183709987</v>
      </c>
      <c r="Q8" s="126">
        <f t="shared" si="6"/>
        <v>4373512.7711629001</v>
      </c>
      <c r="R8" s="40">
        <v>2</v>
      </c>
      <c r="S8" s="596" t="s">
        <v>228</v>
      </c>
      <c r="T8" s="40" t="s">
        <v>239</v>
      </c>
      <c r="U8" s="40">
        <v>11</v>
      </c>
      <c r="V8" s="68">
        <v>43080</v>
      </c>
      <c r="W8" s="68" t="s">
        <v>114</v>
      </c>
      <c r="X8" s="348" t="s">
        <v>119</v>
      </c>
      <c r="Y8" s="78"/>
      <c r="Z8" s="95">
        <f t="shared" si="2"/>
        <v>42358.866945147682</v>
      </c>
      <c r="AA8" s="120">
        <v>26598</v>
      </c>
      <c r="AB8" s="97" t="s">
        <v>23</v>
      </c>
      <c r="AC8" s="29">
        <f t="shared" si="4"/>
        <v>4718354.1890199995</v>
      </c>
    </row>
    <row r="9" spans="1:264" ht="16.5" hidden="1" customHeight="1" thickBot="1">
      <c r="A9" s="315" t="s">
        <v>193</v>
      </c>
      <c r="B9" s="316" t="s">
        <v>68</v>
      </c>
      <c r="C9" s="42" t="s">
        <v>72</v>
      </c>
      <c r="D9" s="38">
        <v>114</v>
      </c>
      <c r="E9" s="38">
        <v>3.5</v>
      </c>
      <c r="F9" s="38">
        <f t="shared" si="0"/>
        <v>117.5</v>
      </c>
      <c r="G9" s="31">
        <v>0</v>
      </c>
      <c r="H9" s="31">
        <v>0</v>
      </c>
      <c r="I9" s="31">
        <v>0</v>
      </c>
      <c r="J9" s="51">
        <v>232</v>
      </c>
      <c r="K9" s="31">
        <v>6.1</v>
      </c>
      <c r="L9" s="317">
        <f t="shared" si="1"/>
        <v>123.6</v>
      </c>
      <c r="M9" s="31">
        <v>5.5E-2</v>
      </c>
      <c r="N9" s="31"/>
      <c r="O9" s="176">
        <f>SUM((D9*(1+M9)*$AA$5*$AA$11)+(E9*$AA$9)+(G9*$AA$5)+(H9*$AA$8)+(I9*$AA$7)+(K9*$AA$6))+($R9*$AA$10-$AA$10)+(27000)</f>
        <v>5093697.2787999995</v>
      </c>
      <c r="P9" s="126">
        <f t="shared" si="5"/>
        <v>655558.83978155989</v>
      </c>
      <c r="Q9" s="126">
        <f t="shared" si="6"/>
        <v>4438138.4390184395</v>
      </c>
      <c r="R9" s="44">
        <v>2</v>
      </c>
      <c r="S9" s="598" t="s">
        <v>228</v>
      </c>
      <c r="T9" s="44" t="s">
        <v>214</v>
      </c>
      <c r="U9" s="44">
        <v>7</v>
      </c>
      <c r="V9" s="69">
        <v>42814</v>
      </c>
      <c r="W9" s="69" t="s">
        <v>107</v>
      </c>
      <c r="X9" s="326" t="s">
        <v>224</v>
      </c>
      <c r="Y9" s="85"/>
      <c r="Z9" s="95">
        <f t="shared" si="2"/>
        <v>43350.615138723399</v>
      </c>
      <c r="AA9" s="120">
        <v>37981</v>
      </c>
      <c r="AB9" s="97" t="s">
        <v>73</v>
      </c>
      <c r="AC9" s="29">
        <f t="shared" si="4"/>
        <v>4788075.4420719994</v>
      </c>
    </row>
    <row r="10" spans="1:264" ht="16.5" hidden="1" customHeight="1" thickBot="1">
      <c r="A10" s="315" t="s">
        <v>193</v>
      </c>
      <c r="B10" s="316" t="s">
        <v>68</v>
      </c>
      <c r="C10" s="42" t="s">
        <v>74</v>
      </c>
      <c r="D10" s="38">
        <v>114</v>
      </c>
      <c r="E10" s="38">
        <v>3.5</v>
      </c>
      <c r="F10" s="38">
        <f t="shared" si="0"/>
        <v>117.5</v>
      </c>
      <c r="G10" s="31">
        <v>0</v>
      </c>
      <c r="H10" s="31">
        <v>0</v>
      </c>
      <c r="I10" s="31">
        <v>0</v>
      </c>
      <c r="J10" s="49"/>
      <c r="K10" s="31"/>
      <c r="L10" s="317">
        <f t="shared" si="1"/>
        <v>117.5</v>
      </c>
      <c r="M10" s="31">
        <v>5.5E-2</v>
      </c>
      <c r="N10" s="31"/>
      <c r="O10" s="176">
        <f>SUM((D10*(1+M10)*$AA$5*$AA$11)+(E10*$AA$9)+(G10*$AA$5)+(H10*$AA$8)+(I10*$AA$7)+(K10*$AA$6))+($R10*$AA$10-$AA$10)+(27000)</f>
        <v>4979627.2787999995</v>
      </c>
      <c r="P10" s="126">
        <f t="shared" si="5"/>
        <v>640878.03078155988</v>
      </c>
      <c r="Q10" s="126">
        <f t="shared" si="6"/>
        <v>4338749.2480184399</v>
      </c>
      <c r="R10" s="44">
        <v>2</v>
      </c>
      <c r="S10" s="598" t="s">
        <v>228</v>
      </c>
      <c r="T10" s="44" t="s">
        <v>278</v>
      </c>
      <c r="U10" s="44">
        <v>14</v>
      </c>
      <c r="V10" s="69"/>
      <c r="W10" s="69" t="s">
        <v>141</v>
      </c>
      <c r="X10" s="326" t="s">
        <v>279</v>
      </c>
      <c r="Y10" s="85"/>
      <c r="Z10" s="95">
        <f t="shared" si="2"/>
        <v>42379.806628085105</v>
      </c>
      <c r="AA10" s="120">
        <v>271270</v>
      </c>
      <c r="AB10" s="97" t="s">
        <v>27</v>
      </c>
      <c r="AC10" s="29">
        <f t="shared" si="4"/>
        <v>4680849.6420719996</v>
      </c>
    </row>
    <row r="11" spans="1:264" s="57" customFormat="1" ht="16.5" hidden="1" customHeight="1" thickBot="1">
      <c r="A11" s="315" t="s">
        <v>193</v>
      </c>
      <c r="B11" s="315" t="s">
        <v>64</v>
      </c>
      <c r="C11" s="154" t="s">
        <v>75</v>
      </c>
      <c r="D11" s="155">
        <v>115</v>
      </c>
      <c r="E11" s="155">
        <v>3.5</v>
      </c>
      <c r="F11" s="155">
        <f t="shared" si="0"/>
        <v>118.5</v>
      </c>
      <c r="G11" s="156">
        <v>0</v>
      </c>
      <c r="H11" s="156">
        <v>0</v>
      </c>
      <c r="I11" s="156">
        <v>0</v>
      </c>
      <c r="J11" s="649">
        <v>233234</v>
      </c>
      <c r="K11" s="650">
        <v>8.1999999999999993</v>
      </c>
      <c r="L11" s="651">
        <f t="shared" si="1"/>
        <v>126.7</v>
      </c>
      <c r="M11" s="31">
        <v>5.5E-2</v>
      </c>
      <c r="N11" s="156"/>
      <c r="O11" s="176">
        <f>SUM((D11*(1+M11)*$AA$5*$AA$11)+(E11*$AA$9)+(G11*$AA$5)+(H11*$AA$8)+(I11*$AA$7)+(K11*$AA$6))+($R11*$AA$10-$AA$10)+(27000)</f>
        <v>5172865.733</v>
      </c>
      <c r="P11" s="176">
        <f>O11*7%</f>
        <v>362100.60131000006</v>
      </c>
      <c r="Q11" s="176">
        <f t="shared" si="6"/>
        <v>4810765.1316900002</v>
      </c>
      <c r="R11" s="159">
        <v>2</v>
      </c>
      <c r="S11" s="633" t="s">
        <v>228</v>
      </c>
      <c r="T11" s="652" t="s">
        <v>317</v>
      </c>
      <c r="U11" s="305">
        <v>19</v>
      </c>
      <c r="V11" s="306">
        <v>43421</v>
      </c>
      <c r="W11" s="652" t="s">
        <v>107</v>
      </c>
      <c r="X11" s="653" t="s">
        <v>140</v>
      </c>
      <c r="Y11" s="159"/>
      <c r="Z11" s="590">
        <f t="shared" si="2"/>
        <v>43652.875383966246</v>
      </c>
      <c r="AA11" s="654">
        <v>1.01</v>
      </c>
      <c r="AB11" s="655" t="s">
        <v>106</v>
      </c>
      <c r="AC11" s="55">
        <f t="shared" si="4"/>
        <v>4862493.78902</v>
      </c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  <c r="IW11" s="56"/>
      <c r="IX11" s="56"/>
      <c r="IY11" s="56"/>
      <c r="IZ11" s="56"/>
      <c r="JA11" s="56"/>
      <c r="JB11" s="56"/>
      <c r="JC11" s="56"/>
      <c r="JD11" s="56"/>
    </row>
    <row r="12" spans="1:264" s="57" customFormat="1" ht="16.5" hidden="1" customHeight="1" thickBot="1">
      <c r="A12" s="315" t="s">
        <v>193</v>
      </c>
      <c r="B12" s="315" t="s">
        <v>64</v>
      </c>
      <c r="C12" s="162" t="s">
        <v>76</v>
      </c>
      <c r="D12" s="163">
        <v>115</v>
      </c>
      <c r="E12" s="163">
        <v>3.5</v>
      </c>
      <c r="F12" s="163">
        <f t="shared" si="0"/>
        <v>118.5</v>
      </c>
      <c r="G12" s="164">
        <v>0</v>
      </c>
      <c r="H12" s="164">
        <v>0</v>
      </c>
      <c r="I12" s="164">
        <v>0</v>
      </c>
      <c r="J12" s="49"/>
      <c r="K12" s="164"/>
      <c r="L12" s="460">
        <f t="shared" si="1"/>
        <v>118.5</v>
      </c>
      <c r="M12" s="31">
        <v>5.5E-2</v>
      </c>
      <c r="N12" s="164"/>
      <c r="O12" s="176">
        <f>SUM((D12*(1+M12)*$AA$5*$AA$12)+(E12*$AA$9)+(G12*$AA$5)+(H12*$AA$8)+(I12*$AA$7)+(K12*$AA$6))+($R12*$AA$10-$AA$10)+(27000)</f>
        <v>5087669.1324999994</v>
      </c>
      <c r="P12" s="176">
        <f t="shared" ref="P12:P18" si="7">O12*7%</f>
        <v>356136.83927499998</v>
      </c>
      <c r="Q12" s="176">
        <f t="shared" si="6"/>
        <v>4731532.2932249997</v>
      </c>
      <c r="R12" s="167">
        <v>2</v>
      </c>
      <c r="S12" s="602" t="s">
        <v>228</v>
      </c>
      <c r="T12" s="200" t="s">
        <v>271</v>
      </c>
      <c r="U12" s="201"/>
      <c r="V12" s="202"/>
      <c r="W12" s="203" t="s">
        <v>124</v>
      </c>
      <c r="X12" s="326" t="s">
        <v>289</v>
      </c>
      <c r="Y12" s="167"/>
      <c r="Z12" s="590">
        <f t="shared" si="2"/>
        <v>42933.916729957804</v>
      </c>
      <c r="AA12" s="654">
        <v>1.0249999999999999</v>
      </c>
      <c r="AB12" s="655" t="s">
        <v>31</v>
      </c>
      <c r="AC12" s="55">
        <f t="shared" si="4"/>
        <v>4782408.9845499992</v>
      </c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  <c r="IW12" s="56"/>
      <c r="IX12" s="56"/>
      <c r="IY12" s="56"/>
      <c r="IZ12" s="56"/>
      <c r="JA12" s="56"/>
      <c r="JB12" s="56"/>
      <c r="JC12" s="56"/>
      <c r="JD12" s="56"/>
    </row>
    <row r="13" spans="1:264" s="57" customFormat="1" ht="16.5" hidden="1" customHeight="1" thickBot="1">
      <c r="A13" s="315" t="s">
        <v>193</v>
      </c>
      <c r="B13" s="316" t="s">
        <v>68</v>
      </c>
      <c r="C13" s="42" t="s">
        <v>77</v>
      </c>
      <c r="D13" s="38">
        <v>114</v>
      </c>
      <c r="E13" s="38">
        <v>3.5</v>
      </c>
      <c r="F13" s="38">
        <f t="shared" si="0"/>
        <v>117.5</v>
      </c>
      <c r="G13" s="31">
        <v>0</v>
      </c>
      <c r="H13" s="31">
        <v>0</v>
      </c>
      <c r="I13" s="31">
        <v>0</v>
      </c>
      <c r="J13" s="51"/>
      <c r="K13" s="31"/>
      <c r="L13" s="317">
        <f t="shared" si="1"/>
        <v>117.5</v>
      </c>
      <c r="M13" s="31">
        <v>5.5E-2</v>
      </c>
      <c r="N13" s="31"/>
      <c r="O13" s="176">
        <f>SUM((D13*(1+M13)*$AA$5*$AA$12)+(E13*$AA$9)+(G13*$AA$5)+(H13*$AA$8)+(I13*$AA$7)+(K13*$AA$6))+($R13*$AA$10-$AA$10)+(27000)</f>
        <v>5047178.1269999994</v>
      </c>
      <c r="P13" s="176">
        <f t="shared" si="7"/>
        <v>353302.46889000002</v>
      </c>
      <c r="Q13" s="176">
        <f t="shared" si="6"/>
        <v>4693875.6581099993</v>
      </c>
      <c r="R13" s="44">
        <v>2</v>
      </c>
      <c r="S13" s="603" t="s">
        <v>228</v>
      </c>
      <c r="T13" s="203" t="s">
        <v>206</v>
      </c>
      <c r="U13" s="201">
        <v>8</v>
      </c>
      <c r="V13" s="202">
        <v>42835</v>
      </c>
      <c r="W13" s="203" t="s">
        <v>107</v>
      </c>
      <c r="X13" s="326" t="s">
        <v>225</v>
      </c>
      <c r="Y13" s="44"/>
      <c r="Z13" s="590">
        <f t="shared" si="2"/>
        <v>42954.707463829785</v>
      </c>
      <c r="AA13" s="654">
        <v>1.04</v>
      </c>
      <c r="AB13" s="655" t="s">
        <v>105</v>
      </c>
      <c r="AC13" s="55">
        <f t="shared" si="4"/>
        <v>4744347.4393799994</v>
      </c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  <c r="IW13" s="56"/>
      <c r="IX13" s="56"/>
      <c r="IY13" s="56"/>
      <c r="IZ13" s="56"/>
      <c r="JA13" s="56"/>
      <c r="JB13" s="56"/>
      <c r="JC13" s="56"/>
      <c r="JD13" s="56"/>
    </row>
    <row r="14" spans="1:264" ht="16.5" customHeight="1" thickBot="1">
      <c r="A14" s="770" t="s">
        <v>193</v>
      </c>
      <c r="B14" s="771" t="s">
        <v>68</v>
      </c>
      <c r="C14" s="772" t="s">
        <v>78</v>
      </c>
      <c r="D14" s="773">
        <v>114</v>
      </c>
      <c r="E14" s="773">
        <v>3.5</v>
      </c>
      <c r="F14" s="773">
        <f t="shared" si="0"/>
        <v>117.5</v>
      </c>
      <c r="G14" s="774">
        <v>0</v>
      </c>
      <c r="H14" s="774">
        <v>0</v>
      </c>
      <c r="I14" s="774">
        <v>0</v>
      </c>
      <c r="J14" s="775"/>
      <c r="K14" s="774"/>
      <c r="L14" s="776">
        <f t="shared" si="1"/>
        <v>117.5</v>
      </c>
      <c r="M14" s="774">
        <v>5.5E-2</v>
      </c>
      <c r="N14" s="774"/>
      <c r="O14" s="703">
        <f>SUM((D14*(1+M14)*$AA$5*$AA$12)+(E14*$AA$9)+(G14*$AA$5)+(H14*$AA$8)+(I14*$AA$7)+(K14*$AA$6))+($R14*$AA$10-$AA$10)+(27000)</f>
        <v>5047178.1269999994</v>
      </c>
      <c r="P14" s="703">
        <f>O14*6%</f>
        <v>302830.68761999992</v>
      </c>
      <c r="Q14" s="703">
        <f t="shared" si="6"/>
        <v>4744347.4393799994</v>
      </c>
      <c r="R14" s="777">
        <v>2</v>
      </c>
      <c r="S14" s="777" t="s">
        <v>309</v>
      </c>
      <c r="T14" s="777" t="s">
        <v>350</v>
      </c>
      <c r="U14" s="777">
        <v>21</v>
      </c>
      <c r="V14" s="778">
        <v>43544</v>
      </c>
      <c r="W14" s="778" t="s">
        <v>136</v>
      </c>
      <c r="X14" s="779" t="s">
        <v>140</v>
      </c>
      <c r="Y14" s="85"/>
      <c r="Z14" s="95">
        <f t="shared" si="2"/>
        <v>42954.707463829785</v>
      </c>
      <c r="AA14" s="98">
        <v>1.08</v>
      </c>
      <c r="AB14" s="97" t="s">
        <v>33</v>
      </c>
      <c r="AC14" s="29">
        <f t="shared" si="4"/>
        <v>4744347.4393799994</v>
      </c>
    </row>
    <row r="15" spans="1:264" ht="16.5" customHeight="1" thickBot="1">
      <c r="A15" s="271" t="s">
        <v>193</v>
      </c>
      <c r="B15" s="273" t="s">
        <v>64</v>
      </c>
      <c r="C15" s="87" t="s">
        <v>79</v>
      </c>
      <c r="D15" s="88">
        <v>115</v>
      </c>
      <c r="E15" s="88">
        <v>3.5</v>
      </c>
      <c r="F15" s="88">
        <f t="shared" si="0"/>
        <v>118.5</v>
      </c>
      <c r="G15" s="89">
        <v>0</v>
      </c>
      <c r="H15" s="89">
        <v>0</v>
      </c>
      <c r="I15" s="89">
        <v>0</v>
      </c>
      <c r="J15" s="90"/>
      <c r="K15" s="89"/>
      <c r="L15" s="294">
        <f t="shared" si="1"/>
        <v>118.5</v>
      </c>
      <c r="M15" s="83">
        <v>5.5E-2</v>
      </c>
      <c r="N15" s="89"/>
      <c r="O15" s="126">
        <f>SUM((D15*(1+M15)*$AA$5*$AA$12)+(E15*$AA$9)+(G15*$AA$5)+(H15*$AA$8)+(I15*$AA$7)+(K15*$AA$6))+($R15*$AA$10-$AA$10)+(27000)</f>
        <v>5087669.1324999994</v>
      </c>
      <c r="P15" s="126">
        <f>O15*6%</f>
        <v>305260.14794999996</v>
      </c>
      <c r="Q15" s="126">
        <f t="shared" si="6"/>
        <v>4782408.9845499992</v>
      </c>
      <c r="R15" s="91">
        <v>2</v>
      </c>
      <c r="S15" s="91"/>
      <c r="T15" s="91"/>
      <c r="U15" s="91"/>
      <c r="V15" s="92"/>
      <c r="W15" s="92"/>
      <c r="X15" s="325"/>
      <c r="Y15" s="91"/>
      <c r="Z15" s="95">
        <f t="shared" si="2"/>
        <v>42933.916729957804</v>
      </c>
      <c r="AA15" s="98">
        <v>1.1499999999999999</v>
      </c>
      <c r="AB15" s="28"/>
      <c r="AC15" s="29">
        <f t="shared" si="4"/>
        <v>4782408.9845499992</v>
      </c>
    </row>
    <row r="16" spans="1:264" ht="16.5" hidden="1" customHeight="1" thickBot="1">
      <c r="A16" s="315" t="s">
        <v>193</v>
      </c>
      <c r="B16" s="315" t="s">
        <v>64</v>
      </c>
      <c r="C16" s="36" t="s">
        <v>80</v>
      </c>
      <c r="D16" s="37">
        <v>115</v>
      </c>
      <c r="E16" s="37">
        <v>3.5</v>
      </c>
      <c r="F16" s="37">
        <f t="shared" si="0"/>
        <v>118.5</v>
      </c>
      <c r="G16" s="32">
        <v>0</v>
      </c>
      <c r="H16" s="32">
        <v>0</v>
      </c>
      <c r="I16" s="32">
        <v>0</v>
      </c>
      <c r="J16" s="49"/>
      <c r="K16" s="32"/>
      <c r="L16" s="345">
        <f t="shared" si="1"/>
        <v>118.5</v>
      </c>
      <c r="M16" s="31">
        <v>5.5E-2</v>
      </c>
      <c r="N16" s="32"/>
      <c r="O16" s="176">
        <f>SUM((D16*(1+M16)*$AA$5*$AA$13)+(E16*$AA$9)+(G16*$AA$5)+(H16*$AA$8)+(I16*$AA$7)+(K16*$AA$6))+($R16*$AA$10-$AA$10)+(27000)</f>
        <v>5155812.5319999997</v>
      </c>
      <c r="P16" s="126">
        <f t="shared" si="7"/>
        <v>360906.87724</v>
      </c>
      <c r="Q16" s="126">
        <f t="shared" si="6"/>
        <v>4794905.6547599994</v>
      </c>
      <c r="R16" s="40">
        <v>2</v>
      </c>
      <c r="S16" s="40" t="s">
        <v>228</v>
      </c>
      <c r="T16" s="40" t="s">
        <v>280</v>
      </c>
      <c r="U16" s="40"/>
      <c r="V16" s="68"/>
      <c r="W16" s="68" t="s">
        <v>114</v>
      </c>
      <c r="X16" s="565" t="s">
        <v>294</v>
      </c>
      <c r="Y16" s="78"/>
      <c r="Z16" s="95">
        <f t="shared" si="2"/>
        <v>43508.966514767926</v>
      </c>
      <c r="AA16" s="96"/>
      <c r="AB16" s="28"/>
      <c r="AC16" s="29">
        <f t="shared" si="4"/>
        <v>4846463.780079999</v>
      </c>
    </row>
    <row r="17" spans="1:264" ht="16.5" hidden="1" customHeight="1" thickBot="1">
      <c r="A17" s="315" t="s">
        <v>193</v>
      </c>
      <c r="B17" s="316" t="s">
        <v>68</v>
      </c>
      <c r="C17" s="42" t="s">
        <v>81</v>
      </c>
      <c r="D17" s="38">
        <v>114</v>
      </c>
      <c r="E17" s="38">
        <v>3.5</v>
      </c>
      <c r="F17" s="38">
        <f t="shared" si="0"/>
        <v>117.5</v>
      </c>
      <c r="G17" s="31">
        <v>0</v>
      </c>
      <c r="H17" s="31">
        <v>0</v>
      </c>
      <c r="I17" s="31">
        <v>0</v>
      </c>
      <c r="J17" s="51"/>
      <c r="K17" s="31"/>
      <c r="L17" s="317">
        <f t="shared" si="1"/>
        <v>117.5</v>
      </c>
      <c r="M17" s="31">
        <v>5.5E-2</v>
      </c>
      <c r="N17" s="31"/>
      <c r="O17" s="176">
        <f>SUM((D17*(1+M17)*$AA$5*$AA$13)+(E17*$AA$9)+(G17*$AA$5)+(H17*$AA$8)+(I17*$AA$7)+(K17*$AA$6))+($R17*$AA$10-$AA$10)+(27000)</f>
        <v>5114728.9752000002</v>
      </c>
      <c r="P17" s="126">
        <f t="shared" si="7"/>
        <v>358031.02826400002</v>
      </c>
      <c r="Q17" s="126">
        <f t="shared" si="6"/>
        <v>4756697.9469360001</v>
      </c>
      <c r="R17" s="44">
        <v>2</v>
      </c>
      <c r="S17" s="637" t="s">
        <v>228</v>
      </c>
      <c r="T17" s="185" t="s">
        <v>213</v>
      </c>
      <c r="U17" s="44">
        <v>8</v>
      </c>
      <c r="V17" s="69">
        <v>42843</v>
      </c>
      <c r="W17" s="185" t="s">
        <v>107</v>
      </c>
      <c r="X17" s="320" t="s">
        <v>140</v>
      </c>
      <c r="Y17" s="85"/>
      <c r="Z17" s="95">
        <f t="shared" si="2"/>
        <v>43529.608299574473</v>
      </c>
      <c r="AA17" s="96"/>
      <c r="AB17" s="28"/>
      <c r="AC17" s="29">
        <f t="shared" si="4"/>
        <v>4807845.2366880002</v>
      </c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  <c r="IW17" s="30"/>
      <c r="IX17" s="30"/>
      <c r="IY17" s="30"/>
      <c r="IZ17" s="30"/>
      <c r="JA17" s="30"/>
      <c r="JB17" s="30"/>
      <c r="JC17" s="30"/>
      <c r="JD17" s="30"/>
    </row>
    <row r="18" spans="1:264" s="57" customFormat="1" ht="16.5" hidden="1" customHeight="1" thickBot="1">
      <c r="A18" s="315" t="s">
        <v>193</v>
      </c>
      <c r="B18" s="316" t="s">
        <v>68</v>
      </c>
      <c r="C18" s="42" t="s">
        <v>82</v>
      </c>
      <c r="D18" s="38">
        <v>114</v>
      </c>
      <c r="E18" s="38">
        <v>3.5</v>
      </c>
      <c r="F18" s="38">
        <f t="shared" si="0"/>
        <v>117.5</v>
      </c>
      <c r="G18" s="31">
        <v>0</v>
      </c>
      <c r="H18" s="31">
        <v>0</v>
      </c>
      <c r="I18" s="31">
        <v>0</v>
      </c>
      <c r="J18" s="49"/>
      <c r="K18" s="31"/>
      <c r="L18" s="317">
        <f t="shared" si="1"/>
        <v>117.5</v>
      </c>
      <c r="M18" s="31">
        <v>5.5E-2</v>
      </c>
      <c r="N18" s="31"/>
      <c r="O18" s="176">
        <f>SUM((D18*(1+M18)*$AA$5*$AA$13)+(E18*$AA$9)+(G18*$AA$5)+(H18*$AA$8)+(I18*$AA$7)+(K18*$AA$6))+($R18*$AA$10-$AA$10)+(27000)</f>
        <v>5114728.9752000002</v>
      </c>
      <c r="P18" s="176">
        <f t="shared" si="7"/>
        <v>358031.02826400002</v>
      </c>
      <c r="Q18" s="176">
        <f t="shared" si="6"/>
        <v>4756697.9469360001</v>
      </c>
      <c r="R18" s="44">
        <v>2</v>
      </c>
      <c r="S18" s="637" t="s">
        <v>108</v>
      </c>
      <c r="T18" s="637" t="s">
        <v>318</v>
      </c>
      <c r="U18" s="44">
        <v>20</v>
      </c>
      <c r="V18" s="69">
        <v>43419</v>
      </c>
      <c r="W18" s="637" t="s">
        <v>114</v>
      </c>
      <c r="X18" s="656" t="s">
        <v>140</v>
      </c>
      <c r="Y18" s="44"/>
      <c r="Z18" s="590">
        <f t="shared" si="2"/>
        <v>43529.608299574473</v>
      </c>
      <c r="AA18" s="591"/>
      <c r="AB18" s="657"/>
      <c r="AC18" s="55">
        <f t="shared" si="4"/>
        <v>4807845.2366880002</v>
      </c>
    </row>
    <row r="19" spans="1:264" s="57" customFormat="1" ht="16.5" hidden="1" customHeight="1" thickBot="1">
      <c r="A19" s="315" t="s">
        <v>193</v>
      </c>
      <c r="B19" s="658" t="s">
        <v>64</v>
      </c>
      <c r="C19" s="45" t="s">
        <v>83</v>
      </c>
      <c r="D19" s="46">
        <v>115</v>
      </c>
      <c r="E19" s="46">
        <v>3.5</v>
      </c>
      <c r="F19" s="46">
        <f t="shared" si="0"/>
        <v>118.5</v>
      </c>
      <c r="G19" s="47">
        <v>0</v>
      </c>
      <c r="H19" s="47">
        <v>0</v>
      </c>
      <c r="I19" s="47">
        <v>0</v>
      </c>
      <c r="J19" s="51"/>
      <c r="K19" s="47"/>
      <c r="L19" s="659">
        <f t="shared" si="1"/>
        <v>118.5</v>
      </c>
      <c r="M19" s="47">
        <v>5.5E-2</v>
      </c>
      <c r="N19" s="47"/>
      <c r="O19" s="176">
        <f>SUM((D19*(1+M19)*$AA$5*$AA$13)+(E19*$AA$9)+(G19*$AA$5)+(H19*$AA$8)+(I19*$AA$7)+(K19*$AA$6))+($R19*$AA$10-$AA$10)+(27000)</f>
        <v>5155812.5319999997</v>
      </c>
      <c r="P19" s="176">
        <f>O19*7%</f>
        <v>360906.87724</v>
      </c>
      <c r="Q19" s="176">
        <f t="shared" si="6"/>
        <v>4794905.6547599994</v>
      </c>
      <c r="R19" s="63">
        <v>2</v>
      </c>
      <c r="S19" s="660" t="s">
        <v>108</v>
      </c>
      <c r="T19" s="660" t="s">
        <v>319</v>
      </c>
      <c r="U19" s="63">
        <v>1919</v>
      </c>
      <c r="V19" s="70">
        <v>43424</v>
      </c>
      <c r="W19" s="660" t="s">
        <v>114</v>
      </c>
      <c r="X19" s="656" t="s">
        <v>320</v>
      </c>
      <c r="Y19" s="63"/>
      <c r="Z19" s="590">
        <f t="shared" si="2"/>
        <v>43508.966514767926</v>
      </c>
      <c r="AA19" s="591"/>
      <c r="AB19" s="657"/>
      <c r="AC19" s="55">
        <f t="shared" si="4"/>
        <v>4846463.780079999</v>
      </c>
    </row>
    <row r="20" spans="1:264" ht="16.5" customHeight="1" thickBot="1">
      <c r="A20" s="315" t="s">
        <v>193</v>
      </c>
      <c r="B20" s="315" t="s">
        <v>64</v>
      </c>
      <c r="C20" s="36" t="s">
        <v>84</v>
      </c>
      <c r="D20" s="37">
        <v>115</v>
      </c>
      <c r="E20" s="37">
        <v>3.5</v>
      </c>
      <c r="F20" s="37">
        <f t="shared" si="0"/>
        <v>118.5</v>
      </c>
      <c r="G20" s="32">
        <v>0</v>
      </c>
      <c r="H20" s="32">
        <v>0</v>
      </c>
      <c r="I20" s="37">
        <v>99</v>
      </c>
      <c r="J20" s="52">
        <v>143</v>
      </c>
      <c r="K20" s="32">
        <v>5.8</v>
      </c>
      <c r="L20" s="345">
        <f t="shared" si="1"/>
        <v>223.3</v>
      </c>
      <c r="M20" s="32">
        <v>0.06</v>
      </c>
      <c r="N20" s="32"/>
      <c r="O20" s="176">
        <f>SUM((D20*(1+M20)*$AA$5*$AA$14)+(E20*$AA$9)+(G20*$AA$5)+(H20*$AA$8)+(I20*$AA$7)+(K20*$AA$6))+($R20*$AA$10-$AA$10)+(27000)</f>
        <v>6785940.9880000008</v>
      </c>
      <c r="P20" s="176">
        <f>O20*11.99%</f>
        <v>813634.32446120016</v>
      </c>
      <c r="Q20" s="176">
        <f t="shared" si="6"/>
        <v>5972306.6635388006</v>
      </c>
      <c r="R20" s="40">
        <v>2</v>
      </c>
      <c r="S20" s="40" t="s">
        <v>108</v>
      </c>
      <c r="T20" s="40" t="s">
        <v>335</v>
      </c>
      <c r="U20" s="40">
        <v>21</v>
      </c>
      <c r="V20" s="68">
        <v>43527</v>
      </c>
      <c r="W20" s="68" t="s">
        <v>307</v>
      </c>
      <c r="X20" s="565" t="s">
        <v>118</v>
      </c>
      <c r="Y20" s="78"/>
      <c r="Z20" s="95">
        <f t="shared" si="2"/>
        <v>57265.324793248954</v>
      </c>
      <c r="AA20" s="96"/>
      <c r="AB20" s="28"/>
      <c r="AC20" s="29">
        <f t="shared" si="4"/>
        <v>6378784.5287200008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  <c r="IW20" s="30"/>
      <c r="IX20" s="30"/>
      <c r="IY20" s="30"/>
      <c r="IZ20" s="30"/>
      <c r="JA20" s="30"/>
      <c r="JB20" s="30"/>
      <c r="JC20" s="30"/>
      <c r="JD20" s="30"/>
    </row>
    <row r="21" spans="1:264" ht="16.5" customHeight="1" thickBot="1">
      <c r="A21" s="271" t="s">
        <v>193</v>
      </c>
      <c r="B21" s="272" t="s">
        <v>68</v>
      </c>
      <c r="C21" s="122" t="s">
        <v>85</v>
      </c>
      <c r="D21" s="123">
        <v>114</v>
      </c>
      <c r="E21" s="123">
        <v>3.5</v>
      </c>
      <c r="F21" s="123">
        <f t="shared" si="0"/>
        <v>117.5</v>
      </c>
      <c r="G21" s="124">
        <v>0</v>
      </c>
      <c r="H21" s="124">
        <v>0</v>
      </c>
      <c r="I21" s="123">
        <v>99.1</v>
      </c>
      <c r="J21" s="125"/>
      <c r="K21" s="124">
        <v>0</v>
      </c>
      <c r="L21" s="295">
        <f t="shared" si="1"/>
        <v>216.6</v>
      </c>
      <c r="M21" s="124">
        <v>5.5E-2</v>
      </c>
      <c r="N21" s="124"/>
      <c r="O21" s="126">
        <f>SUM((D21*(1+M21)*$AA$5*$AA$14)+(E21*$AA$9)+(G21*$AA$5)+(H21*$AA$8)+(I21*$AA$7)+(K21*$AA$6))+($R21*$AA$10-$AA$10)+(27000)</f>
        <v>6612894.5704000005</v>
      </c>
      <c r="P21" s="126">
        <f>O21*11.99%</f>
        <v>792886.05899096013</v>
      </c>
      <c r="Q21" s="126">
        <f t="shared" si="6"/>
        <v>5820008.5114090405</v>
      </c>
      <c r="R21" s="127">
        <v>2</v>
      </c>
      <c r="S21" s="127"/>
      <c r="T21" s="127"/>
      <c r="U21" s="127"/>
      <c r="V21" s="128"/>
      <c r="W21" s="128"/>
      <c r="X21" s="327"/>
      <c r="Y21" s="127"/>
      <c r="Z21" s="95">
        <f t="shared" si="2"/>
        <v>56279.953790638305</v>
      </c>
      <c r="AA21" s="96"/>
      <c r="AB21" s="28"/>
      <c r="AC21" s="29">
        <f t="shared" si="4"/>
        <v>6216120.8961760001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  <c r="IW21" s="30"/>
      <c r="IX21" s="30"/>
      <c r="IY21" s="30"/>
      <c r="IZ21" s="30"/>
      <c r="JA21" s="30"/>
      <c r="JB21" s="30"/>
      <c r="JC21" s="30"/>
      <c r="JD21" s="30"/>
    </row>
    <row r="22" spans="1:264" ht="16.5" hidden="1" customHeight="1" thickBot="1">
      <c r="A22" s="315" t="s">
        <v>193</v>
      </c>
      <c r="B22" s="316" t="s">
        <v>68</v>
      </c>
      <c r="C22" s="42" t="s">
        <v>86</v>
      </c>
      <c r="D22" s="38">
        <v>114</v>
      </c>
      <c r="E22" s="38">
        <v>3.5</v>
      </c>
      <c r="F22" s="38">
        <f t="shared" si="0"/>
        <v>117.5</v>
      </c>
      <c r="G22" s="31">
        <v>0</v>
      </c>
      <c r="H22" s="31">
        <v>0</v>
      </c>
      <c r="I22" s="190">
        <v>99.1</v>
      </c>
      <c r="J22" s="53"/>
      <c r="K22" s="31">
        <v>0</v>
      </c>
      <c r="L22" s="317">
        <f t="shared" si="1"/>
        <v>216.6</v>
      </c>
      <c r="M22" s="31">
        <v>5.5E-2</v>
      </c>
      <c r="N22" s="31"/>
      <c r="O22" s="176">
        <f>SUM((D22*(1+M22)*$AA$5*$AA$14)+(E22*$AA$9)+(G22*$AA$5)+(H22*$AA$8)+(I22*$AA$7)+(K22*$AA$6))+($R22*$AA$10-$AA$10)+(27000)</f>
        <v>6612894.5704000005</v>
      </c>
      <c r="P22" s="126">
        <f t="shared" si="5"/>
        <v>851079.53121047991</v>
      </c>
      <c r="Q22" s="126">
        <f t="shared" si="6"/>
        <v>5761815.0391895203</v>
      </c>
      <c r="R22" s="44">
        <v>2</v>
      </c>
      <c r="S22" s="598" t="s">
        <v>108</v>
      </c>
      <c r="T22" s="598" t="s">
        <v>301</v>
      </c>
      <c r="U22" s="44">
        <v>17</v>
      </c>
      <c r="V22" s="69"/>
      <c r="W22" s="604" t="s">
        <v>141</v>
      </c>
      <c r="X22" s="605" t="s">
        <v>140</v>
      </c>
      <c r="Y22" s="85"/>
      <c r="Z22" s="95">
        <f t="shared" si="2"/>
        <v>56279.953790638305</v>
      </c>
      <c r="AA22" s="96"/>
      <c r="AB22" s="28"/>
      <c r="AC22" s="29">
        <f t="shared" si="4"/>
        <v>6216120.8961760001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  <c r="IW22" s="30"/>
      <c r="IX22" s="30"/>
      <c r="IY22" s="30"/>
      <c r="IZ22" s="30"/>
      <c r="JA22" s="30"/>
      <c r="JB22" s="30"/>
      <c r="JC22" s="30"/>
      <c r="JD22" s="30"/>
    </row>
    <row r="23" spans="1:264" ht="15" customHeight="1">
      <c r="A23" s="271" t="s">
        <v>193</v>
      </c>
      <c r="B23" s="272" t="s">
        <v>64</v>
      </c>
      <c r="C23" s="81" t="s">
        <v>87</v>
      </c>
      <c r="D23" s="82">
        <v>115</v>
      </c>
      <c r="E23" s="82">
        <v>3.5</v>
      </c>
      <c r="F23" s="82">
        <f t="shared" si="0"/>
        <v>118.5</v>
      </c>
      <c r="G23" s="83">
        <v>0</v>
      </c>
      <c r="H23" s="83">
        <v>0</v>
      </c>
      <c r="I23" s="82">
        <v>99</v>
      </c>
      <c r="J23" s="94">
        <v>141</v>
      </c>
      <c r="K23" s="83">
        <v>5.6</v>
      </c>
      <c r="L23" s="293">
        <f t="shared" si="1"/>
        <v>223.1</v>
      </c>
      <c r="M23" s="83">
        <v>5.5E-2</v>
      </c>
      <c r="N23" s="83"/>
      <c r="O23" s="126">
        <f>SUM((D23*(1+M23)*$AA$5*$AA$14)+(E23*$AA$9)+(G23*$AA$5)+(H23*$AA$8)+(I23*$AA$7)+(K23*$AA$6))+($R23*$AA$10-$AA$10)+(27000)</f>
        <v>6758948.2640000004</v>
      </c>
      <c r="P23" s="126">
        <f>O23*11.99%</f>
        <v>810397.89685360005</v>
      </c>
      <c r="Q23" s="126">
        <f t="shared" si="6"/>
        <v>5948550.3671464007</v>
      </c>
      <c r="R23" s="85">
        <v>2</v>
      </c>
      <c r="S23" s="85"/>
      <c r="T23" s="85"/>
      <c r="U23" s="85"/>
      <c r="V23" s="86"/>
      <c r="W23" s="86"/>
      <c r="X23" s="324"/>
      <c r="Y23" s="85"/>
      <c r="Z23" s="95">
        <f t="shared" si="2"/>
        <v>57037.53809282701</v>
      </c>
      <c r="AA23" s="100"/>
      <c r="AB23" s="101"/>
      <c r="AC23" s="29">
        <f t="shared" si="4"/>
        <v>6353411.3681600001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  <c r="IW23" s="30"/>
      <c r="IX23" s="30"/>
      <c r="IY23" s="30"/>
      <c r="IZ23" s="30"/>
      <c r="JA23" s="30"/>
      <c r="JB23" s="30"/>
      <c r="JC23" s="30"/>
      <c r="JD23" s="30"/>
    </row>
    <row r="24" spans="1:264" ht="15" hidden="1" customHeight="1">
      <c r="A24" s="106"/>
      <c r="B24" s="106"/>
      <c r="C24" s="258"/>
      <c r="D24" s="107"/>
      <c r="E24" s="107"/>
      <c r="F24" s="107"/>
      <c r="G24" s="107"/>
      <c r="H24" s="107"/>
      <c r="I24" s="107"/>
      <c r="J24" s="107"/>
      <c r="K24" s="107"/>
      <c r="L24" s="296"/>
      <c r="M24" s="107"/>
      <c r="N24" s="107"/>
      <c r="O24" s="108"/>
      <c r="P24" s="126">
        <f t="shared" si="5"/>
        <v>0</v>
      </c>
      <c r="Q24" s="108"/>
      <c r="R24" s="106"/>
      <c r="S24" s="106"/>
      <c r="T24" s="106"/>
      <c r="U24" s="106"/>
      <c r="V24" s="259"/>
      <c r="W24" s="259"/>
      <c r="X24" s="328"/>
      <c r="Y24" s="106"/>
      <c r="Z24" s="106"/>
      <c r="AA24" s="101"/>
      <c r="AB24" s="101"/>
      <c r="AC24" s="29">
        <f t="shared" si="4"/>
        <v>0</v>
      </c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  <c r="IW24" s="30"/>
      <c r="IX24" s="30"/>
      <c r="IY24" s="30"/>
      <c r="IZ24" s="30"/>
      <c r="JA24" s="30"/>
      <c r="JB24" s="30"/>
      <c r="JC24" s="30"/>
      <c r="JD24" s="30"/>
    </row>
    <row r="25" spans="1:264" ht="15" hidden="1" customHeight="1">
      <c r="A25" s="101"/>
      <c r="B25" s="101"/>
      <c r="C25" s="260"/>
      <c r="D25" s="261">
        <f t="shared" ref="D25:I25" si="8">SUM(D4:D24)</f>
        <v>2275</v>
      </c>
      <c r="E25" s="261">
        <f t="shared" si="8"/>
        <v>72.5</v>
      </c>
      <c r="F25" s="261">
        <f t="shared" si="8"/>
        <v>2347.5</v>
      </c>
      <c r="G25" s="261">
        <f t="shared" si="8"/>
        <v>0</v>
      </c>
      <c r="H25" s="261">
        <f t="shared" si="8"/>
        <v>279.14</v>
      </c>
      <c r="I25" s="261">
        <f t="shared" si="8"/>
        <v>396.2</v>
      </c>
      <c r="J25" s="261"/>
      <c r="K25" s="261"/>
      <c r="L25" s="297">
        <f>SUM(L4:L24)</f>
        <v>3048.5399999999995</v>
      </c>
      <c r="M25" s="261"/>
      <c r="N25" s="261"/>
      <c r="O25" s="131">
        <f>SUM(O5:O24)</f>
        <v>106981128.1098</v>
      </c>
      <c r="P25" s="126">
        <f t="shared" si="5"/>
        <v>13768471.187731257</v>
      </c>
      <c r="Q25" s="131"/>
      <c r="R25" s="101"/>
      <c r="S25" s="101"/>
      <c r="T25" s="101"/>
      <c r="U25" s="101"/>
      <c r="V25" s="262"/>
      <c r="W25" s="262"/>
      <c r="X25" s="329"/>
      <c r="Y25" s="101"/>
      <c r="Z25" s="101"/>
      <c r="AA25" s="263"/>
      <c r="AB25" s="101"/>
      <c r="AC25" s="29">
        <f t="shared" si="4"/>
        <v>100562260.42321199</v>
      </c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  <c r="IW25" s="30"/>
      <c r="IX25" s="30"/>
      <c r="IY25" s="30"/>
      <c r="IZ25" s="30"/>
      <c r="JA25" s="30"/>
      <c r="JB25" s="30"/>
      <c r="JC25" s="30"/>
      <c r="JD25" s="30"/>
    </row>
    <row r="26" spans="1:264" ht="15" hidden="1" customHeight="1">
      <c r="P26" s="126">
        <f t="shared" si="5"/>
        <v>0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  <c r="IW26" s="30"/>
      <c r="IX26" s="30"/>
      <c r="IY26" s="30"/>
      <c r="IZ26" s="30"/>
      <c r="JA26" s="30"/>
      <c r="JB26" s="30"/>
      <c r="JC26" s="30"/>
      <c r="JD26" s="30"/>
    </row>
  </sheetData>
  <mergeCells count="1">
    <mergeCell ref="I2:J2"/>
  </mergeCells>
  <phoneticPr fontId="13" type="noConversion"/>
  <pageMargins left="0.75000000000000011" right="0.75000000000000011" top="1" bottom="1" header="0.5" footer="0.5"/>
  <pageSetup scale="94" orientation="landscape" horizontalDpi="4294967292" verticalDpi="4294967292"/>
  <colBreaks count="1" manualBreakCount="1">
    <brk id="7" max="22" man="1"/>
  </colBreaks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800000"/>
    <pageSetUpPr fitToPage="1"/>
  </sheetPr>
  <dimension ref="A1:AD41"/>
  <sheetViews>
    <sheetView topLeftCell="A5" zoomScale="80" zoomScaleNormal="80" workbookViewId="0">
      <selection activeCell="H30" sqref="H30"/>
    </sheetView>
  </sheetViews>
  <sheetFormatPr baseColWidth="10" defaultColWidth="6.84375" defaultRowHeight="15" customHeight="1"/>
  <cols>
    <col min="1" max="1" width="10.15234375" style="356" customWidth="1"/>
    <col min="2" max="2" width="6.23046875" style="356" customWidth="1"/>
    <col min="3" max="3" width="6.3828125" style="356" customWidth="1"/>
    <col min="4" max="4" width="8" style="356" customWidth="1"/>
    <col min="5" max="5" width="6.84375" style="356" customWidth="1"/>
    <col min="6" max="6" width="8.15234375" style="356" customWidth="1"/>
    <col min="7" max="7" width="6.84375" style="356" hidden="1" customWidth="1"/>
    <col min="8" max="8" width="7.3828125" style="356" customWidth="1"/>
    <col min="9" max="9" width="7.61328125" style="356" customWidth="1"/>
    <col min="10" max="10" width="6.765625" style="358" customWidth="1"/>
    <col min="11" max="11" width="5.3828125" style="356" hidden="1" customWidth="1"/>
    <col min="12" max="12" width="10.84375" style="356" customWidth="1"/>
    <col min="13" max="14" width="10.84375" style="356" hidden="1" customWidth="1"/>
    <col min="15" max="15" width="13" style="356" customWidth="1"/>
    <col min="16" max="16" width="13" style="356" hidden="1" customWidth="1"/>
    <col min="17" max="17" width="13" style="356" customWidth="1"/>
    <col min="18" max="18" width="5.765625" style="362" customWidth="1"/>
    <col min="19" max="19" width="8.15234375" style="362" customWidth="1"/>
    <col min="20" max="20" width="18.765625" style="362" customWidth="1"/>
    <col min="21" max="21" width="4.3828125" style="362" hidden="1" customWidth="1"/>
    <col min="22" max="22" width="7.84375" style="363" hidden="1" customWidth="1"/>
    <col min="23" max="23" width="7.84375" style="363" customWidth="1"/>
    <col min="24" max="24" width="4.23046875" style="363" customWidth="1"/>
    <col min="25" max="25" width="10.765625" style="362" hidden="1" customWidth="1"/>
    <col min="26" max="29" width="10.765625" style="356" hidden="1" customWidth="1"/>
    <col min="30" max="33" width="10.765625" style="356" customWidth="1"/>
    <col min="34" max="264" width="6.84375" style="356" customWidth="1"/>
    <col min="265" max="16384" width="6.84375" style="356"/>
  </cols>
  <sheetData>
    <row r="1" spans="1:30" ht="33" customHeight="1">
      <c r="A1" s="8" t="s">
        <v>0</v>
      </c>
      <c r="B1" s="364"/>
      <c r="C1" s="364"/>
      <c r="D1" s="364"/>
      <c r="E1" s="364"/>
      <c r="F1" s="364"/>
      <c r="G1" s="364"/>
      <c r="H1" s="364"/>
      <c r="I1" s="364"/>
      <c r="J1" s="477"/>
      <c r="K1" s="364"/>
      <c r="L1" s="364"/>
      <c r="M1" s="364"/>
      <c r="N1" s="364"/>
      <c r="O1" s="533">
        <v>21</v>
      </c>
      <c r="P1" s="533"/>
      <c r="Q1" s="533"/>
      <c r="R1" s="364"/>
      <c r="S1" s="364"/>
      <c r="T1" s="364"/>
      <c r="U1" s="364"/>
      <c r="V1" s="366"/>
      <c r="W1" s="366"/>
      <c r="X1" s="366"/>
      <c r="Y1" s="364"/>
      <c r="Z1" s="367"/>
      <c r="AA1" s="28"/>
      <c r="AB1" s="28"/>
      <c r="AC1" s="28"/>
    </row>
    <row r="2" spans="1:30" ht="33" customHeight="1">
      <c r="A2" s="8" t="s">
        <v>249</v>
      </c>
      <c r="B2" s="368"/>
      <c r="C2" s="368"/>
      <c r="D2" s="368"/>
      <c r="E2" s="368"/>
      <c r="F2" s="368"/>
      <c r="G2" s="368"/>
      <c r="H2" s="738"/>
      <c r="I2" s="738"/>
      <c r="J2" s="738"/>
      <c r="K2" s="369" t="s">
        <v>156</v>
      </c>
      <c r="L2" s="368"/>
      <c r="M2" s="368"/>
      <c r="N2" s="368"/>
      <c r="O2" s="624" t="s">
        <v>325</v>
      </c>
      <c r="P2" s="624"/>
      <c r="Q2" s="624"/>
      <c r="R2" s="639">
        <v>19</v>
      </c>
      <c r="S2" s="368"/>
      <c r="T2" s="368"/>
      <c r="U2" s="368"/>
      <c r="V2" s="370"/>
      <c r="W2" s="370"/>
      <c r="X2" s="370"/>
      <c r="Y2" s="371" t="s">
        <v>156</v>
      </c>
      <c r="Z2" s="368"/>
      <c r="AA2" s="372"/>
      <c r="AB2" s="28"/>
      <c r="AC2" s="28"/>
    </row>
    <row r="3" spans="1:30" ht="45.75" customHeight="1" thickBot="1">
      <c r="A3" s="373" t="s">
        <v>1</v>
      </c>
      <c r="B3" s="373" t="s">
        <v>2</v>
      </c>
      <c r="C3" s="373" t="s">
        <v>3</v>
      </c>
      <c r="D3" s="373" t="s">
        <v>62</v>
      </c>
      <c r="E3" s="373" t="s">
        <v>63</v>
      </c>
      <c r="F3" s="373" t="s">
        <v>6</v>
      </c>
      <c r="G3" s="373" t="s">
        <v>7</v>
      </c>
      <c r="H3" s="373" t="s">
        <v>8</v>
      </c>
      <c r="I3" s="373" t="s">
        <v>9</v>
      </c>
      <c r="J3" s="484" t="s">
        <v>147</v>
      </c>
      <c r="K3" s="373" t="s">
        <v>148</v>
      </c>
      <c r="L3" s="373" t="s">
        <v>11</v>
      </c>
      <c r="M3" s="485" t="s">
        <v>146</v>
      </c>
      <c r="N3" s="485"/>
      <c r="O3" s="373" t="s">
        <v>12</v>
      </c>
      <c r="P3" s="373"/>
      <c r="Q3" s="378" t="s">
        <v>326</v>
      </c>
      <c r="R3" s="375" t="s">
        <v>13</v>
      </c>
      <c r="S3" s="375" t="s">
        <v>102</v>
      </c>
      <c r="T3" s="375" t="s">
        <v>95</v>
      </c>
      <c r="U3" s="375" t="s">
        <v>103</v>
      </c>
      <c r="V3" s="376" t="s">
        <v>97</v>
      </c>
      <c r="W3" s="376" t="s">
        <v>98</v>
      </c>
      <c r="X3" s="376" t="s">
        <v>205</v>
      </c>
      <c r="Y3" s="377"/>
      <c r="Z3" s="378" t="s">
        <v>104</v>
      </c>
      <c r="AA3" s="120"/>
      <c r="AB3" s="171"/>
      <c r="AC3" s="28"/>
    </row>
    <row r="4" spans="1:30" s="358" customFormat="1" ht="16.5" customHeight="1" thickBot="1">
      <c r="A4" s="486" t="s">
        <v>250</v>
      </c>
      <c r="B4" s="379"/>
      <c r="C4" s="487" t="s">
        <v>160</v>
      </c>
      <c r="D4" s="488">
        <v>122.71</v>
      </c>
      <c r="E4" s="488">
        <v>0</v>
      </c>
      <c r="F4" s="488">
        <v>122.71</v>
      </c>
      <c r="G4" s="382">
        <v>0</v>
      </c>
      <c r="H4" s="488">
        <v>63.23</v>
      </c>
      <c r="I4" s="382">
        <v>0</v>
      </c>
      <c r="J4" s="668">
        <v>101</v>
      </c>
      <c r="K4" s="383">
        <v>4.3</v>
      </c>
      <c r="L4" s="382">
        <f t="shared" ref="L4:L37" si="0">D4+E4+G4+H4+I4+K4</f>
        <v>190.24</v>
      </c>
      <c r="M4" s="382">
        <v>2E-3</v>
      </c>
      <c r="N4" s="382"/>
      <c r="O4" s="350">
        <f t="shared" ref="O4:O10" si="1">SUM((D4*(1+M4)*$AA$5)+(E4*$AA$12)+(G4*$AA$5)+(H4*$AA$11)+(I4*$AA$7)+(K4*$AA$6))+($R4*$AA$13-$AA$13)+(27000)</f>
        <v>6941407.8903400004</v>
      </c>
      <c r="P4" s="646">
        <f>O4*11.99%</f>
        <v>832274.80605176615</v>
      </c>
      <c r="Q4" s="647">
        <f>O4-P4</f>
        <v>6109133.0842882339</v>
      </c>
      <c r="R4" s="386">
        <v>2</v>
      </c>
      <c r="S4" s="387"/>
      <c r="T4" s="386"/>
      <c r="U4" s="386"/>
      <c r="V4" s="388"/>
      <c r="W4" s="388"/>
      <c r="X4" s="388"/>
      <c r="Y4" s="386"/>
      <c r="Z4" s="389">
        <f t="shared" ref="Z4:Z37" si="2">O4/F4</f>
        <v>56567.581210496297</v>
      </c>
      <c r="AA4" s="489"/>
      <c r="AB4" s="490"/>
      <c r="AC4" s="390">
        <f t="shared" ref="AC4" si="3">O4*0.94</f>
        <v>6524923.4169196002</v>
      </c>
      <c r="AD4" s="357"/>
    </row>
    <row r="5" spans="1:30" ht="16.5" customHeight="1" thickBot="1">
      <c r="A5" s="486" t="s">
        <v>250</v>
      </c>
      <c r="B5" s="391"/>
      <c r="C5" s="487" t="s">
        <v>161</v>
      </c>
      <c r="D5" s="491">
        <v>88.29</v>
      </c>
      <c r="E5" s="491"/>
      <c r="F5" s="491">
        <v>88.29</v>
      </c>
      <c r="G5" s="385">
        <v>0</v>
      </c>
      <c r="H5" s="491">
        <v>32.049999999999997</v>
      </c>
      <c r="I5" s="385">
        <v>0</v>
      </c>
      <c r="J5" s="669">
        <v>100</v>
      </c>
      <c r="K5" s="395">
        <v>4.7</v>
      </c>
      <c r="L5" s="385">
        <f t="shared" si="0"/>
        <v>125.04</v>
      </c>
      <c r="M5" s="385">
        <v>5.0999999999999997E-2</v>
      </c>
      <c r="N5" s="385"/>
      <c r="O5" s="350">
        <f t="shared" si="1"/>
        <v>4643881.9683299996</v>
      </c>
      <c r="P5" s="646">
        <f t="shared" ref="P5:P10" si="4">O5*11.99%</f>
        <v>556801.44800276693</v>
      </c>
      <c r="Q5" s="647">
        <f t="shared" ref="Q5:Q37" si="5">O5-P5</f>
        <v>4087080.5203272328</v>
      </c>
      <c r="R5" s="397">
        <v>1</v>
      </c>
      <c r="S5" s="387"/>
      <c r="T5" s="397"/>
      <c r="U5" s="397"/>
      <c r="V5" s="399"/>
      <c r="W5" s="399"/>
      <c r="X5" s="399"/>
      <c r="Y5" s="397"/>
      <c r="Z5" s="400">
        <f t="shared" si="2"/>
        <v>52598.051515800194</v>
      </c>
      <c r="AA5" s="120">
        <v>39727</v>
      </c>
      <c r="AB5" s="492" t="s">
        <v>18</v>
      </c>
      <c r="AC5" s="401">
        <f t="shared" ref="AC5:AC39" si="6">+O5*0.94</f>
        <v>4365249.0502301995</v>
      </c>
    </row>
    <row r="6" spans="1:30" ht="16.5" customHeight="1" thickBot="1">
      <c r="A6" s="486" t="s">
        <v>250</v>
      </c>
      <c r="B6" s="391"/>
      <c r="C6" s="487" t="s">
        <v>162</v>
      </c>
      <c r="D6" s="491">
        <v>93.42</v>
      </c>
      <c r="E6" s="491"/>
      <c r="F6" s="491">
        <v>93.42</v>
      </c>
      <c r="G6" s="385">
        <v>0</v>
      </c>
      <c r="H6" s="491">
        <v>35.799999999999997</v>
      </c>
      <c r="I6" s="385">
        <v>0</v>
      </c>
      <c r="J6" s="669">
        <v>99</v>
      </c>
      <c r="K6" s="395">
        <v>5.0999999999999996</v>
      </c>
      <c r="L6" s="385">
        <f t="shared" si="0"/>
        <v>134.32</v>
      </c>
      <c r="M6" s="385">
        <v>8.7999999999999995E-2</v>
      </c>
      <c r="N6" s="385"/>
      <c r="O6" s="350">
        <f t="shared" si="1"/>
        <v>5101445.9179199999</v>
      </c>
      <c r="P6" s="646">
        <f t="shared" si="4"/>
        <v>611663.36555860797</v>
      </c>
      <c r="Q6" s="647">
        <f t="shared" si="5"/>
        <v>4489782.5523613915</v>
      </c>
      <c r="R6" s="397">
        <v>1</v>
      </c>
      <c r="S6" s="387"/>
      <c r="T6" s="397"/>
      <c r="U6" s="397"/>
      <c r="V6" s="399"/>
      <c r="W6" s="399"/>
      <c r="X6" s="399"/>
      <c r="Y6" s="397"/>
      <c r="Z6" s="400">
        <f t="shared" si="2"/>
        <v>54607.642024405905</v>
      </c>
      <c r="AA6" s="120">
        <v>18813</v>
      </c>
      <c r="AB6" s="492" t="s">
        <v>10</v>
      </c>
      <c r="AC6" s="401">
        <f t="shared" si="6"/>
        <v>4795359.1628447995</v>
      </c>
    </row>
    <row r="7" spans="1:30" ht="16.5" customHeight="1" thickBot="1">
      <c r="A7" s="486" t="s">
        <v>250</v>
      </c>
      <c r="B7" s="405"/>
      <c r="C7" s="487" t="s">
        <v>163</v>
      </c>
      <c r="D7" s="493">
        <v>115.19</v>
      </c>
      <c r="E7" s="493">
        <v>0</v>
      </c>
      <c r="F7" s="493">
        <v>115.19</v>
      </c>
      <c r="G7" s="408">
        <v>0</v>
      </c>
      <c r="H7" s="493">
        <v>52.62</v>
      </c>
      <c r="I7" s="408">
        <v>0</v>
      </c>
      <c r="J7" s="670">
        <v>98</v>
      </c>
      <c r="K7" s="409">
        <v>4</v>
      </c>
      <c r="L7" s="408">
        <f t="shared" si="0"/>
        <v>171.81</v>
      </c>
      <c r="M7" s="408"/>
      <c r="N7" s="408"/>
      <c r="O7" s="350">
        <f t="shared" si="1"/>
        <v>6348500.0099999998</v>
      </c>
      <c r="P7" s="646">
        <f t="shared" si="4"/>
        <v>761185.15119900007</v>
      </c>
      <c r="Q7" s="647">
        <f t="shared" si="5"/>
        <v>5587314.8588009998</v>
      </c>
      <c r="R7" s="411">
        <v>2</v>
      </c>
      <c r="S7" s="387"/>
      <c r="T7" s="568"/>
      <c r="U7" s="411"/>
      <c r="V7" s="412"/>
      <c r="W7" s="412"/>
      <c r="X7" s="412"/>
      <c r="Y7" s="411"/>
      <c r="Z7" s="400">
        <f t="shared" si="2"/>
        <v>55113.291171108605</v>
      </c>
      <c r="AA7" s="120">
        <v>14099</v>
      </c>
      <c r="AB7" s="492" t="s">
        <v>9</v>
      </c>
      <c r="AC7" s="401">
        <f t="shared" si="6"/>
        <v>5967590.0093999999</v>
      </c>
    </row>
    <row r="8" spans="1:30" ht="16.5" customHeight="1" thickBot="1">
      <c r="A8" s="486" t="s">
        <v>250</v>
      </c>
      <c r="B8" s="494"/>
      <c r="C8" s="538" t="s">
        <v>164</v>
      </c>
      <c r="D8" s="540">
        <v>81.27</v>
      </c>
      <c r="E8" s="540"/>
      <c r="F8" s="540">
        <v>81.27</v>
      </c>
      <c r="G8" s="497"/>
      <c r="H8" s="540">
        <v>41.12</v>
      </c>
      <c r="I8" s="497"/>
      <c r="J8" s="671">
        <v>404</v>
      </c>
      <c r="K8" s="498">
        <v>10.3</v>
      </c>
      <c r="L8" s="408">
        <f t="shared" si="0"/>
        <v>132.69</v>
      </c>
      <c r="M8" s="497">
        <v>2.1999999999999999E-2</v>
      </c>
      <c r="N8" s="497"/>
      <c r="O8" s="350">
        <f t="shared" si="1"/>
        <v>4600803.5623800009</v>
      </c>
      <c r="P8" s="646">
        <f t="shared" si="4"/>
        <v>551636.34712936217</v>
      </c>
      <c r="Q8" s="647">
        <f t="shared" si="5"/>
        <v>4049167.2152506388</v>
      </c>
      <c r="R8" s="411">
        <v>1</v>
      </c>
      <c r="S8" s="664"/>
      <c r="T8" s="665"/>
      <c r="U8" s="499"/>
      <c r="V8" s="500"/>
      <c r="W8" s="666"/>
      <c r="X8" s="667"/>
      <c r="Y8" s="499"/>
      <c r="Z8" s="400">
        <f t="shared" si="2"/>
        <v>56611.339514950181</v>
      </c>
      <c r="AA8" s="96"/>
      <c r="AB8" s="97"/>
      <c r="AC8" s="401"/>
    </row>
    <row r="9" spans="1:30" ht="16.5" customHeight="1" thickBot="1">
      <c r="A9" s="486" t="s">
        <v>250</v>
      </c>
      <c r="B9" s="494"/>
      <c r="C9" s="502" t="s">
        <v>165</v>
      </c>
      <c r="D9" s="491">
        <v>88.22</v>
      </c>
      <c r="E9" s="491"/>
      <c r="F9" s="491">
        <v>88.22</v>
      </c>
      <c r="G9" s="497"/>
      <c r="H9" s="491">
        <v>33.26</v>
      </c>
      <c r="I9" s="497"/>
      <c r="J9" s="671">
        <v>400</v>
      </c>
      <c r="K9" s="498">
        <v>8.5</v>
      </c>
      <c r="L9" s="408">
        <f t="shared" si="0"/>
        <v>129.97999999999999</v>
      </c>
      <c r="M9" s="497">
        <v>5.1900000000000002E-2</v>
      </c>
      <c r="N9" s="497"/>
      <c r="O9" s="350">
        <f t="shared" si="1"/>
        <v>4747394.4372859998</v>
      </c>
      <c r="P9" s="646">
        <f t="shared" si="4"/>
        <v>569212.59303059138</v>
      </c>
      <c r="Q9" s="647">
        <f t="shared" si="5"/>
        <v>4178181.8442554083</v>
      </c>
      <c r="R9" s="411">
        <v>1</v>
      </c>
      <c r="S9" s="387"/>
      <c r="T9" s="569"/>
      <c r="U9" s="499"/>
      <c r="V9" s="500"/>
      <c r="W9" s="500"/>
      <c r="X9" s="501"/>
      <c r="Y9" s="499"/>
      <c r="Z9" s="400">
        <f t="shared" si="2"/>
        <v>53813.131231988213</v>
      </c>
      <c r="AA9" s="120"/>
      <c r="AB9" s="492"/>
      <c r="AC9" s="401"/>
    </row>
    <row r="10" spans="1:30" ht="16.5" customHeight="1" thickBot="1">
      <c r="A10" s="504" t="s">
        <v>250</v>
      </c>
      <c r="B10" s="607"/>
      <c r="C10" s="616" t="s">
        <v>166</v>
      </c>
      <c r="D10" s="617">
        <v>122.06</v>
      </c>
      <c r="E10" s="617"/>
      <c r="F10" s="617">
        <v>122.06</v>
      </c>
      <c r="G10" s="609"/>
      <c r="H10" s="617">
        <v>15.87</v>
      </c>
      <c r="I10" s="609"/>
      <c r="J10" s="672">
        <v>127</v>
      </c>
      <c r="K10" s="549">
        <v>6.2</v>
      </c>
      <c r="L10" s="618">
        <f t="shared" si="0"/>
        <v>144.13</v>
      </c>
      <c r="M10" s="609">
        <v>2.1000000000000001E-2</v>
      </c>
      <c r="N10" s="609"/>
      <c r="O10" s="619">
        <f t="shared" si="1"/>
        <v>5799074.2300199987</v>
      </c>
      <c r="P10" s="646">
        <f t="shared" si="4"/>
        <v>695309.00017939787</v>
      </c>
      <c r="Q10" s="648">
        <f t="shared" si="5"/>
        <v>5103765.2298406009</v>
      </c>
      <c r="R10" s="620">
        <v>2</v>
      </c>
      <c r="S10" s="621" t="s">
        <v>108</v>
      </c>
      <c r="T10" s="622" t="s">
        <v>302</v>
      </c>
      <c r="U10" s="612"/>
      <c r="V10" s="613"/>
      <c r="W10" s="614" t="s">
        <v>113</v>
      </c>
      <c r="X10" s="623" t="s">
        <v>123</v>
      </c>
      <c r="Y10" s="499"/>
      <c r="Z10" s="400">
        <f t="shared" si="2"/>
        <v>47510.029739636237</v>
      </c>
      <c r="AA10" s="120"/>
      <c r="AB10" s="492"/>
      <c r="AC10" s="401"/>
    </row>
    <row r="11" spans="1:30" ht="16.5" customHeight="1" thickBot="1">
      <c r="A11" s="486" t="s">
        <v>250</v>
      </c>
      <c r="B11" s="379"/>
      <c r="C11" s="495" t="s">
        <v>167</v>
      </c>
      <c r="D11" s="496">
        <v>120.82</v>
      </c>
      <c r="E11" s="496">
        <v>0</v>
      </c>
      <c r="F11" s="496">
        <v>120.82</v>
      </c>
      <c r="G11" s="442"/>
      <c r="H11" s="442">
        <v>0</v>
      </c>
      <c r="I11" s="442">
        <v>0</v>
      </c>
      <c r="J11" s="668">
        <v>97</v>
      </c>
      <c r="K11" s="383">
        <v>4.9000000000000004</v>
      </c>
      <c r="L11" s="442">
        <f t="shared" si="0"/>
        <v>125.72</v>
      </c>
      <c r="M11" s="442"/>
      <c r="N11" s="442"/>
      <c r="O11" s="126">
        <f>SUM((D11*(1+M11)*$AA$5*$AA$14)+(E11*$AA$12)+(G11*$AA$5)+(H11*$AA$11)+(I11*$AA$7)+(K11*$AA$6))+($R11*$AA$13-$AA$13) +(27000)</f>
        <v>5254555.0013999995</v>
      </c>
      <c r="P11" s="646">
        <f>O11*5.92%</f>
        <v>311069.65608287998</v>
      </c>
      <c r="Q11" s="647">
        <f t="shared" si="5"/>
        <v>4943485.3453171197</v>
      </c>
      <c r="R11" s="398">
        <v>2</v>
      </c>
      <c r="S11" s="398"/>
      <c r="T11" s="567"/>
      <c r="U11" s="398"/>
      <c r="V11" s="444"/>
      <c r="W11" s="444"/>
      <c r="X11" s="464"/>
      <c r="Y11" s="398"/>
      <c r="Z11" s="400">
        <f t="shared" si="2"/>
        <v>43490.771407051812</v>
      </c>
      <c r="AA11" s="120">
        <v>26274</v>
      </c>
      <c r="AB11" s="492" t="s">
        <v>23</v>
      </c>
      <c r="AC11" s="401">
        <f t="shared" si="6"/>
        <v>4939281.701315999</v>
      </c>
    </row>
    <row r="12" spans="1:30" ht="16.5" customHeight="1" thickBot="1">
      <c r="A12" s="504" t="s">
        <v>250</v>
      </c>
      <c r="B12" s="417"/>
      <c r="C12" s="505" t="s">
        <v>168</v>
      </c>
      <c r="D12" s="506">
        <v>86.57</v>
      </c>
      <c r="E12" s="506">
        <v>4.8899999999999997</v>
      </c>
      <c r="F12" s="506">
        <f>D12+E12</f>
        <v>91.46</v>
      </c>
      <c r="G12" s="420">
        <v>0</v>
      </c>
      <c r="H12" s="420">
        <v>0</v>
      </c>
      <c r="I12" s="420">
        <v>0</v>
      </c>
      <c r="J12" s="673"/>
      <c r="K12" s="507"/>
      <c r="L12" s="420">
        <f t="shared" si="0"/>
        <v>91.46</v>
      </c>
      <c r="M12" s="420"/>
      <c r="N12" s="420"/>
      <c r="O12" s="176">
        <f t="shared" ref="O12:O17" si="7">SUM((D12*(1+M12)*$AA$5*$AA$14)+(E12*$AA$12)+(G12*$AA$5)+(H12*$AA$11)+(I12*$AA$7)+(K12*$AA$6))+($R12*$AA$13-$AA$13)+(27000)</f>
        <v>3697429.4538999996</v>
      </c>
      <c r="P12" s="646">
        <f>O12*5.92%</f>
        <v>218887.82367088</v>
      </c>
      <c r="Q12" s="648">
        <f t="shared" si="5"/>
        <v>3478541.6302291197</v>
      </c>
      <c r="R12" s="422">
        <v>1</v>
      </c>
      <c r="S12" s="606" t="s">
        <v>108</v>
      </c>
      <c r="T12" s="422" t="s">
        <v>297</v>
      </c>
      <c r="U12" s="397"/>
      <c r="V12" s="399"/>
      <c r="W12" s="615" t="s">
        <v>114</v>
      </c>
      <c r="X12" s="640" t="s">
        <v>321</v>
      </c>
      <c r="Y12" s="397"/>
      <c r="Z12" s="400">
        <f t="shared" si="2"/>
        <v>40426.737960857201</v>
      </c>
      <c r="AA12" s="120">
        <v>40260</v>
      </c>
      <c r="AB12" s="492" t="s">
        <v>73</v>
      </c>
      <c r="AC12" s="401">
        <f t="shared" si="6"/>
        <v>3475583.6866659992</v>
      </c>
    </row>
    <row r="13" spans="1:30" ht="16.5" customHeight="1" thickBot="1">
      <c r="A13" s="486" t="s">
        <v>250</v>
      </c>
      <c r="B13" s="391"/>
      <c r="C13" s="535" t="s">
        <v>169</v>
      </c>
      <c r="D13" s="536">
        <v>116.57</v>
      </c>
      <c r="E13" s="536">
        <v>8.49</v>
      </c>
      <c r="F13" s="536">
        <f t="shared" ref="F13:F37" si="8">D13+E13</f>
        <v>125.05999999999999</v>
      </c>
      <c r="G13" s="385">
        <v>0</v>
      </c>
      <c r="H13" s="385">
        <v>0</v>
      </c>
      <c r="I13" s="385">
        <v>0</v>
      </c>
      <c r="J13" s="668">
        <v>111</v>
      </c>
      <c r="K13" s="395">
        <v>2</v>
      </c>
      <c r="L13" s="385">
        <f t="shared" si="0"/>
        <v>127.05999999999999</v>
      </c>
      <c r="M13" s="385">
        <v>0.06</v>
      </c>
      <c r="N13" s="385"/>
      <c r="O13" s="126">
        <f t="shared" si="7"/>
        <v>5651913.7231339999</v>
      </c>
      <c r="P13" s="646">
        <f>O13*5.92%</f>
        <v>334593.29240953282</v>
      </c>
      <c r="Q13" s="647">
        <f t="shared" si="5"/>
        <v>5317320.4307244672</v>
      </c>
      <c r="R13" s="397">
        <v>2</v>
      </c>
      <c r="S13" s="397"/>
      <c r="T13" s="397"/>
      <c r="U13" s="397"/>
      <c r="V13" s="399"/>
      <c r="W13" s="399"/>
      <c r="X13" s="360"/>
      <c r="Y13" s="397"/>
      <c r="Z13" s="400">
        <f t="shared" si="2"/>
        <v>45193.616848984493</v>
      </c>
      <c r="AA13" s="96">
        <v>287557</v>
      </c>
      <c r="AB13" s="97" t="s">
        <v>27</v>
      </c>
      <c r="AC13" s="401">
        <f t="shared" si="6"/>
        <v>5312798.8997459598</v>
      </c>
    </row>
    <row r="14" spans="1:30" ht="16.5" customHeight="1" thickBot="1">
      <c r="A14" s="486" t="s">
        <v>250</v>
      </c>
      <c r="B14" s="379"/>
      <c r="C14" s="542" t="s">
        <v>170</v>
      </c>
      <c r="D14" s="544">
        <v>129.22999999999999</v>
      </c>
      <c r="E14" s="544">
        <v>5.21</v>
      </c>
      <c r="F14" s="536">
        <f t="shared" si="8"/>
        <v>134.44</v>
      </c>
      <c r="G14" s="427">
        <v>0</v>
      </c>
      <c r="H14" s="427">
        <v>0</v>
      </c>
      <c r="I14" s="427">
        <v>0</v>
      </c>
      <c r="J14" s="670">
        <v>96</v>
      </c>
      <c r="K14" s="409">
        <v>5.0999999999999996</v>
      </c>
      <c r="L14" s="427">
        <f t="shared" si="0"/>
        <v>139.54</v>
      </c>
      <c r="M14" s="427"/>
      <c r="N14" s="427"/>
      <c r="O14" s="126">
        <f t="shared" si="7"/>
        <v>5805517.3120999997</v>
      </c>
      <c r="P14" s="646">
        <f t="shared" ref="P14:P31" si="9">O14*5.92%</f>
        <v>343686.62487632001</v>
      </c>
      <c r="Q14" s="647">
        <f t="shared" si="5"/>
        <v>5461830.6872236794</v>
      </c>
      <c r="R14" s="428">
        <v>2</v>
      </c>
      <c r="S14" s="429"/>
      <c r="T14" s="430"/>
      <c r="U14" s="431"/>
      <c r="V14" s="432"/>
      <c r="W14" s="430"/>
      <c r="X14" s="360"/>
      <c r="Y14" s="428"/>
      <c r="Z14" s="400">
        <f t="shared" si="2"/>
        <v>43182.961262273129</v>
      </c>
      <c r="AA14" s="98">
        <v>1.01</v>
      </c>
      <c r="AB14" s="97" t="s">
        <v>106</v>
      </c>
      <c r="AC14" s="401">
        <f t="shared" si="6"/>
        <v>5457186.2733739996</v>
      </c>
    </row>
    <row r="15" spans="1:30" ht="16.5" customHeight="1" thickBot="1">
      <c r="A15" s="486" t="s">
        <v>250</v>
      </c>
      <c r="B15" s="379"/>
      <c r="C15" s="538" t="s">
        <v>171</v>
      </c>
      <c r="D15" s="540">
        <v>94.79</v>
      </c>
      <c r="E15" s="540">
        <v>4.17</v>
      </c>
      <c r="F15" s="536">
        <f t="shared" si="8"/>
        <v>98.960000000000008</v>
      </c>
      <c r="G15" s="508"/>
      <c r="H15" s="508"/>
      <c r="I15" s="508"/>
      <c r="J15" s="671">
        <v>405</v>
      </c>
      <c r="K15" s="498">
        <v>9.3000000000000007</v>
      </c>
      <c r="L15" s="427">
        <f t="shared" si="0"/>
        <v>108.26</v>
      </c>
      <c r="M15" s="508"/>
      <c r="N15" s="508"/>
      <c r="O15" s="126">
        <f t="shared" si="7"/>
        <v>4173224.6533000004</v>
      </c>
      <c r="P15" s="646">
        <f t="shared" si="9"/>
        <v>247054.89947536003</v>
      </c>
      <c r="Q15" s="647">
        <f t="shared" si="5"/>
        <v>3926169.7538246405</v>
      </c>
      <c r="R15" s="428">
        <v>1</v>
      </c>
      <c r="S15" s="433"/>
      <c r="T15" s="434"/>
      <c r="U15" s="509"/>
      <c r="V15" s="510"/>
      <c r="W15" s="511"/>
      <c r="X15" s="360"/>
      <c r="Y15" s="512"/>
      <c r="Z15" s="389">
        <f t="shared" si="2"/>
        <v>42170.823093168954</v>
      </c>
      <c r="AA15" s="98"/>
      <c r="AB15" s="97"/>
      <c r="AC15" s="401"/>
    </row>
    <row r="16" spans="1:30" ht="16.5" customHeight="1" thickBot="1">
      <c r="A16" s="504" t="s">
        <v>250</v>
      </c>
      <c r="B16" s="413"/>
      <c r="C16" s="505" t="s">
        <v>172</v>
      </c>
      <c r="D16" s="506">
        <v>86.5</v>
      </c>
      <c r="E16" s="506">
        <v>4.96</v>
      </c>
      <c r="F16" s="506">
        <f t="shared" si="8"/>
        <v>91.46</v>
      </c>
      <c r="G16" s="548"/>
      <c r="H16" s="548"/>
      <c r="I16" s="548"/>
      <c r="J16" s="672"/>
      <c r="K16" s="549"/>
      <c r="L16" s="513">
        <f t="shared" si="0"/>
        <v>91.46</v>
      </c>
      <c r="M16" s="548"/>
      <c r="N16" s="548"/>
      <c r="O16" s="176">
        <f t="shared" si="7"/>
        <v>3697438.9550000001</v>
      </c>
      <c r="P16" s="646">
        <f t="shared" si="9"/>
        <v>218888.38613600002</v>
      </c>
      <c r="Q16" s="648">
        <f t="shared" si="5"/>
        <v>3478550.568864</v>
      </c>
      <c r="R16" s="514">
        <v>1</v>
      </c>
      <c r="S16" s="550" t="s">
        <v>108</v>
      </c>
      <c r="T16" s="551" t="s">
        <v>286</v>
      </c>
      <c r="U16" s="509"/>
      <c r="V16" s="510"/>
      <c r="W16" s="564" t="s">
        <v>114</v>
      </c>
      <c r="X16" s="359" t="s">
        <v>292</v>
      </c>
      <c r="Y16" s="512"/>
      <c r="Z16" s="400">
        <f t="shared" si="2"/>
        <v>40426.841843428825</v>
      </c>
      <c r="AA16" s="98"/>
      <c r="AB16" s="97"/>
      <c r="AC16" s="401"/>
    </row>
    <row r="17" spans="1:29" ht="16.5" customHeight="1" thickBot="1">
      <c r="A17" s="486" t="s">
        <v>250</v>
      </c>
      <c r="B17" s="379"/>
      <c r="C17" s="542" t="s">
        <v>173</v>
      </c>
      <c r="D17" s="544">
        <v>122.06</v>
      </c>
      <c r="E17" s="544">
        <v>4.5599999999999996</v>
      </c>
      <c r="F17" s="536">
        <f t="shared" si="8"/>
        <v>126.62</v>
      </c>
      <c r="G17" s="508"/>
      <c r="H17" s="508"/>
      <c r="I17" s="508"/>
      <c r="J17" s="674"/>
      <c r="K17" s="574"/>
      <c r="L17" s="427">
        <f t="shared" si="0"/>
        <v>126.62</v>
      </c>
      <c r="M17" s="508"/>
      <c r="N17" s="508"/>
      <c r="O17" s="126">
        <f t="shared" si="7"/>
        <v>5395710.9961999999</v>
      </c>
      <c r="P17" s="646">
        <f t="shared" si="9"/>
        <v>319426.09097503999</v>
      </c>
      <c r="Q17" s="647">
        <f t="shared" si="5"/>
        <v>5076284.9052249603</v>
      </c>
      <c r="R17" s="428">
        <v>2</v>
      </c>
      <c r="S17" s="433"/>
      <c r="T17" s="434"/>
      <c r="U17" s="509"/>
      <c r="V17" s="510"/>
      <c r="W17" s="511"/>
      <c r="X17" s="360"/>
      <c r="Y17" s="512"/>
      <c r="Z17" s="400">
        <f t="shared" si="2"/>
        <v>42613.418071394721</v>
      </c>
      <c r="AA17" s="98"/>
      <c r="AB17" s="97"/>
      <c r="AC17" s="401"/>
    </row>
    <row r="18" spans="1:29" ht="16.5" customHeight="1" thickBot="1">
      <c r="A18" s="486" t="s">
        <v>250</v>
      </c>
      <c r="B18" s="379"/>
      <c r="C18" s="538" t="s">
        <v>251</v>
      </c>
      <c r="D18" s="540">
        <v>120.82</v>
      </c>
      <c r="E18" s="540">
        <v>0</v>
      </c>
      <c r="F18" s="536">
        <f t="shared" si="8"/>
        <v>120.82</v>
      </c>
      <c r="G18" s="382">
        <v>0</v>
      </c>
      <c r="H18" s="382">
        <v>0</v>
      </c>
      <c r="I18" s="382">
        <v>0</v>
      </c>
      <c r="J18" s="668">
        <v>95</v>
      </c>
      <c r="K18" s="383">
        <v>4.0999999999999996</v>
      </c>
      <c r="L18" s="427">
        <f t="shared" si="0"/>
        <v>124.91999999999999</v>
      </c>
      <c r="M18" s="385">
        <v>5.5E-2</v>
      </c>
      <c r="N18" s="382"/>
      <c r="O18" s="126">
        <f t="shared" ref="O18:O24" si="10">SUM((D18*(1+M18)*$AA$5*$AA$18)+(E18*$AA$12)+(G18*$AA$5)+(H18*$AA$11)+(I18*$AA$7)+(K18*$AA$6))+($R18*$AA$13-$AA$13)+(27000)</f>
        <v>5582091.4783924986</v>
      </c>
      <c r="P18" s="646">
        <f t="shared" si="9"/>
        <v>330459.81552083592</v>
      </c>
      <c r="Q18" s="647">
        <f t="shared" si="5"/>
        <v>5251631.6628716625</v>
      </c>
      <c r="R18" s="428">
        <v>2</v>
      </c>
      <c r="S18" s="433"/>
      <c r="T18" s="434"/>
      <c r="U18" s="435"/>
      <c r="V18" s="436"/>
      <c r="W18" s="437"/>
      <c r="X18" s="360"/>
      <c r="Y18" s="386"/>
      <c r="Z18" s="400">
        <f t="shared" si="2"/>
        <v>46201.717252048489</v>
      </c>
      <c r="AA18" s="98">
        <v>1.0249999999999999</v>
      </c>
      <c r="AB18" s="97" t="s">
        <v>31</v>
      </c>
      <c r="AC18" s="401">
        <f t="shared" si="6"/>
        <v>5247165.9896889487</v>
      </c>
    </row>
    <row r="19" spans="1:29" ht="16.5" customHeight="1" thickBot="1">
      <c r="A19" s="486" t="s">
        <v>250</v>
      </c>
      <c r="B19" s="391"/>
      <c r="C19" s="535" t="s">
        <v>252</v>
      </c>
      <c r="D19" s="536">
        <v>86.57</v>
      </c>
      <c r="E19" s="536">
        <v>4.8899999999999997</v>
      </c>
      <c r="F19" s="536">
        <f t="shared" si="8"/>
        <v>91.46</v>
      </c>
      <c r="G19" s="385">
        <v>0</v>
      </c>
      <c r="H19" s="385">
        <v>0</v>
      </c>
      <c r="I19" s="385">
        <v>0</v>
      </c>
      <c r="J19" s="670"/>
      <c r="K19" s="395"/>
      <c r="L19" s="427">
        <f t="shared" si="0"/>
        <v>91.46</v>
      </c>
      <c r="M19" s="385">
        <v>5.5E-2</v>
      </c>
      <c r="N19" s="385"/>
      <c r="O19" s="126">
        <f t="shared" si="10"/>
        <v>3942899.9549862491</v>
      </c>
      <c r="P19" s="646">
        <f t="shared" si="9"/>
        <v>233419.67733518596</v>
      </c>
      <c r="Q19" s="647">
        <f t="shared" si="5"/>
        <v>3709480.2776510632</v>
      </c>
      <c r="R19" s="428">
        <v>1</v>
      </c>
      <c r="S19" s="641" t="s">
        <v>322</v>
      </c>
      <c r="T19" s="642"/>
      <c r="U19" s="435"/>
      <c r="V19" s="436"/>
      <c r="W19" s="642"/>
      <c r="X19" s="360"/>
      <c r="Y19" s="397"/>
      <c r="Z19" s="389">
        <f t="shared" si="2"/>
        <v>43110.64897207795</v>
      </c>
      <c r="AA19" s="98">
        <v>1.04</v>
      </c>
      <c r="AB19" s="97" t="s">
        <v>105</v>
      </c>
      <c r="AC19" s="401">
        <f t="shared" si="6"/>
        <v>3706325.9576870739</v>
      </c>
    </row>
    <row r="20" spans="1:29" ht="16.5" customHeight="1" thickBot="1">
      <c r="A20" s="486" t="s">
        <v>250</v>
      </c>
      <c r="B20" s="391"/>
      <c r="C20" s="535" t="s">
        <v>253</v>
      </c>
      <c r="D20" s="536">
        <v>116.57</v>
      </c>
      <c r="E20" s="536">
        <v>8.49</v>
      </c>
      <c r="F20" s="536">
        <f t="shared" si="8"/>
        <v>125.05999999999999</v>
      </c>
      <c r="G20" s="385">
        <v>0</v>
      </c>
      <c r="H20" s="385">
        <v>0</v>
      </c>
      <c r="I20" s="385">
        <v>0</v>
      </c>
      <c r="J20" s="668">
        <v>94</v>
      </c>
      <c r="K20" s="395">
        <v>4.5999999999999996</v>
      </c>
      <c r="L20" s="427">
        <f t="shared" si="0"/>
        <v>129.66</v>
      </c>
      <c r="M20" s="385">
        <v>7.0000000000000007E-2</v>
      </c>
      <c r="N20" s="385"/>
      <c r="O20" s="126">
        <f t="shared" si="10"/>
        <v>5821927.5557324998</v>
      </c>
      <c r="P20" s="646">
        <f t="shared" si="9"/>
        <v>344658.11129936401</v>
      </c>
      <c r="Q20" s="647">
        <f t="shared" si="5"/>
        <v>5477269.4444331359</v>
      </c>
      <c r="R20" s="428">
        <v>2</v>
      </c>
      <c r="S20" s="397"/>
      <c r="T20" s="397"/>
      <c r="U20" s="397"/>
      <c r="V20" s="399"/>
      <c r="W20" s="399"/>
      <c r="X20" s="399"/>
      <c r="Y20" s="397"/>
      <c r="Z20" s="400">
        <f t="shared" si="2"/>
        <v>46553.074969874462</v>
      </c>
      <c r="AA20" s="98">
        <v>1.109</v>
      </c>
      <c r="AB20" s="97" t="s">
        <v>33</v>
      </c>
      <c r="AC20" s="401">
        <f t="shared" si="6"/>
        <v>5472611.9023885494</v>
      </c>
    </row>
    <row r="21" spans="1:29" ht="16.5" customHeight="1" thickBot="1">
      <c r="A21" s="486" t="s">
        <v>250</v>
      </c>
      <c r="B21" s="405"/>
      <c r="C21" s="503" t="s">
        <v>254</v>
      </c>
      <c r="D21" s="493">
        <v>129.22999999999999</v>
      </c>
      <c r="E21" s="493">
        <v>5.21</v>
      </c>
      <c r="F21" s="491">
        <f t="shared" si="8"/>
        <v>134.44</v>
      </c>
      <c r="G21" s="408">
        <v>0</v>
      </c>
      <c r="H21" s="408">
        <v>0</v>
      </c>
      <c r="I21" s="408">
        <v>0</v>
      </c>
      <c r="J21" s="675">
        <v>108</v>
      </c>
      <c r="K21" s="570">
        <v>3.3</v>
      </c>
      <c r="L21" s="427">
        <f t="shared" si="0"/>
        <v>137.74</v>
      </c>
      <c r="M21" s="385">
        <v>5.5E-2</v>
      </c>
      <c r="N21" s="408"/>
      <c r="O21" s="126">
        <f t="shared" si="10"/>
        <v>6138087.4670887478</v>
      </c>
      <c r="P21" s="646">
        <f t="shared" si="9"/>
        <v>363374.77805165388</v>
      </c>
      <c r="Q21" s="647">
        <f t="shared" si="5"/>
        <v>5774712.6890370939</v>
      </c>
      <c r="R21" s="428">
        <v>2</v>
      </c>
      <c r="S21" s="411"/>
      <c r="T21" s="411"/>
      <c r="U21" s="411"/>
      <c r="V21" s="412"/>
      <c r="W21" s="412"/>
      <c r="X21" s="412"/>
      <c r="Y21" s="411"/>
      <c r="Z21" s="400">
        <f t="shared" si="2"/>
        <v>45656.705348770811</v>
      </c>
      <c r="AA21" s="349"/>
      <c r="AB21" s="171"/>
      <c r="AC21" s="401">
        <f t="shared" si="6"/>
        <v>5769802.2190634226</v>
      </c>
    </row>
    <row r="22" spans="1:29" ht="16.5" customHeight="1" thickBot="1">
      <c r="A22" s="486" t="s">
        <v>250</v>
      </c>
      <c r="B22" s="494"/>
      <c r="C22" s="538" t="s">
        <v>255</v>
      </c>
      <c r="D22" s="539">
        <v>94.79</v>
      </c>
      <c r="E22" s="540">
        <v>4.17</v>
      </c>
      <c r="F22" s="536">
        <f t="shared" si="8"/>
        <v>98.960000000000008</v>
      </c>
      <c r="G22" s="497"/>
      <c r="H22" s="497"/>
      <c r="I22" s="497"/>
      <c r="J22" s="676">
        <v>107</v>
      </c>
      <c r="K22" s="571">
        <v>3.3</v>
      </c>
      <c r="L22" s="427">
        <f t="shared" si="0"/>
        <v>102.26</v>
      </c>
      <c r="M22" s="442">
        <v>7.0000000000000007E-2</v>
      </c>
      <c r="N22" s="497"/>
      <c r="O22" s="126">
        <f t="shared" si="10"/>
        <v>4387023.0654275008</v>
      </c>
      <c r="P22" s="646">
        <f t="shared" si="9"/>
        <v>259711.76547330804</v>
      </c>
      <c r="Q22" s="647">
        <f t="shared" si="5"/>
        <v>4127311.2999541927</v>
      </c>
      <c r="R22" s="428">
        <v>1</v>
      </c>
      <c r="S22" s="499"/>
      <c r="T22" s="499"/>
      <c r="U22" s="499"/>
      <c r="V22" s="500"/>
      <c r="W22" s="500"/>
      <c r="X22" s="500"/>
      <c r="Y22" s="499"/>
      <c r="Z22" s="400">
        <f t="shared" si="2"/>
        <v>44331.27592388339</v>
      </c>
      <c r="AA22" s="98"/>
      <c r="AB22" s="28"/>
      <c r="AC22" s="401"/>
    </row>
    <row r="23" spans="1:29" ht="16.5" customHeight="1" thickBot="1">
      <c r="A23" s="504" t="s">
        <v>250</v>
      </c>
      <c r="B23" s="607"/>
      <c r="C23" s="505" t="s">
        <v>256</v>
      </c>
      <c r="D23" s="608">
        <v>86.5</v>
      </c>
      <c r="E23" s="506">
        <v>4.96</v>
      </c>
      <c r="F23" s="506">
        <f t="shared" si="8"/>
        <v>91.46</v>
      </c>
      <c r="G23" s="609"/>
      <c r="H23" s="609"/>
      <c r="I23" s="609"/>
      <c r="J23" s="677">
        <v>106</v>
      </c>
      <c r="K23" s="610">
        <v>2.7</v>
      </c>
      <c r="L23" s="513">
        <f t="shared" si="0"/>
        <v>94.16</v>
      </c>
      <c r="M23" s="414">
        <v>7.0000000000000007E-2</v>
      </c>
      <c r="N23" s="609"/>
      <c r="O23" s="176">
        <f t="shared" si="10"/>
        <v>4046340.4971250002</v>
      </c>
      <c r="P23" s="646">
        <f t="shared" si="9"/>
        <v>239543.35742980003</v>
      </c>
      <c r="Q23" s="648">
        <f t="shared" si="5"/>
        <v>3806797.1396952001</v>
      </c>
      <c r="R23" s="514">
        <v>1</v>
      </c>
      <c r="S23" s="611" t="s">
        <v>108</v>
      </c>
      <c r="T23" s="611" t="s">
        <v>303</v>
      </c>
      <c r="U23" s="612"/>
      <c r="V23" s="613"/>
      <c r="W23" s="614" t="s">
        <v>136</v>
      </c>
      <c r="X23" s="614" t="s">
        <v>123</v>
      </c>
      <c r="Y23" s="499"/>
      <c r="Z23" s="400">
        <f t="shared" si="2"/>
        <v>44241.641123168607</v>
      </c>
      <c r="AA23" s="98"/>
      <c r="AB23" s="28"/>
      <c r="AC23" s="401"/>
    </row>
    <row r="24" spans="1:29" ht="16.5" customHeight="1" thickBot="1">
      <c r="A24" s="486" t="s">
        <v>250</v>
      </c>
      <c r="B24" s="494"/>
      <c r="C24" s="503" t="s">
        <v>257</v>
      </c>
      <c r="D24" s="516">
        <v>122.06</v>
      </c>
      <c r="E24" s="493">
        <v>4.5599999999999996</v>
      </c>
      <c r="F24" s="491">
        <f t="shared" si="8"/>
        <v>126.62</v>
      </c>
      <c r="G24" s="497"/>
      <c r="H24" s="497"/>
      <c r="I24" s="497"/>
      <c r="J24" s="671"/>
      <c r="K24" s="498"/>
      <c r="L24" s="427">
        <f t="shared" si="0"/>
        <v>126.62</v>
      </c>
      <c r="M24" s="442">
        <v>7.0000000000000007E-2</v>
      </c>
      <c r="N24" s="497"/>
      <c r="O24" s="126">
        <f t="shared" si="10"/>
        <v>5816368.4797350001</v>
      </c>
      <c r="P24" s="646">
        <f t="shared" si="9"/>
        <v>344329.01400031202</v>
      </c>
      <c r="Q24" s="647">
        <f t="shared" si="5"/>
        <v>5472039.4657346876</v>
      </c>
      <c r="R24" s="428">
        <v>2</v>
      </c>
      <c r="S24" s="499"/>
      <c r="T24" s="499"/>
      <c r="U24" s="499"/>
      <c r="V24" s="500"/>
      <c r="W24" s="500"/>
      <c r="X24" s="500"/>
      <c r="Y24" s="499"/>
      <c r="Z24" s="400">
        <f t="shared" si="2"/>
        <v>45935.622174498501</v>
      </c>
      <c r="AA24" s="98"/>
      <c r="AB24" s="28"/>
      <c r="AC24" s="401"/>
    </row>
    <row r="25" spans="1:29" ht="16.5" customHeight="1" thickBot="1">
      <c r="A25" s="486" t="s">
        <v>250</v>
      </c>
      <c r="B25" s="379"/>
      <c r="C25" s="495" t="s">
        <v>258</v>
      </c>
      <c r="D25" s="496">
        <v>120.82</v>
      </c>
      <c r="E25" s="496">
        <v>0</v>
      </c>
      <c r="F25" s="491">
        <f t="shared" si="8"/>
        <v>120.82</v>
      </c>
      <c r="G25" s="442">
        <v>0</v>
      </c>
      <c r="H25" s="442">
        <v>0</v>
      </c>
      <c r="I25" s="442">
        <v>0</v>
      </c>
      <c r="J25" s="668"/>
      <c r="K25" s="383"/>
      <c r="L25" s="427">
        <f t="shared" si="0"/>
        <v>120.82</v>
      </c>
      <c r="M25" s="442">
        <v>0.06</v>
      </c>
      <c r="N25" s="442"/>
      <c r="O25" s="126">
        <f t="shared" ref="O25:O31" si="11">SUM((D25*(1+M25)*$AA$5*$AA$19)+(E25*$AA$12)+(G25*$AA$5)+(H25*$AA$11)+(I25*$AA$7)+(K25*$AA$6))+($R25*$AA$13-$AA$13)+(27000)</f>
        <v>5605874.3127360009</v>
      </c>
      <c r="P25" s="646">
        <f t="shared" si="9"/>
        <v>331867.75931397127</v>
      </c>
      <c r="Q25" s="647">
        <f t="shared" si="5"/>
        <v>5274006.5534220301</v>
      </c>
      <c r="R25" s="428">
        <v>2</v>
      </c>
      <c r="S25" s="398"/>
      <c r="T25" s="398"/>
      <c r="U25" s="398"/>
      <c r="V25" s="444"/>
      <c r="W25" s="444"/>
      <c r="X25" s="444"/>
      <c r="Y25" s="398"/>
      <c r="Z25" s="400">
        <f t="shared" si="2"/>
        <v>46398.562429531543</v>
      </c>
      <c r="AA25" s="96"/>
      <c r="AB25" s="28"/>
      <c r="AC25" s="401">
        <f t="shared" si="6"/>
        <v>5269521.8539718408</v>
      </c>
    </row>
    <row r="26" spans="1:29" ht="16.5" customHeight="1" thickBot="1">
      <c r="A26" s="504" t="s">
        <v>250</v>
      </c>
      <c r="B26" s="417"/>
      <c r="C26" s="505" t="s">
        <v>259</v>
      </c>
      <c r="D26" s="506">
        <v>86.57</v>
      </c>
      <c r="E26" s="506">
        <v>4.8899999999999997</v>
      </c>
      <c r="F26" s="506">
        <f t="shared" si="8"/>
        <v>91.46</v>
      </c>
      <c r="G26" s="420">
        <v>0</v>
      </c>
      <c r="H26" s="420">
        <v>0</v>
      </c>
      <c r="I26" s="420">
        <v>0</v>
      </c>
      <c r="J26" s="673"/>
      <c r="K26" s="507"/>
      <c r="L26" s="513">
        <f t="shared" si="0"/>
        <v>91.46</v>
      </c>
      <c r="M26" s="414">
        <v>0.06</v>
      </c>
      <c r="N26" s="420"/>
      <c r="O26" s="176">
        <f t="shared" si="11"/>
        <v>4015208.4283360001</v>
      </c>
      <c r="P26" s="646">
        <f t="shared" si="9"/>
        <v>237700.33895749121</v>
      </c>
      <c r="Q26" s="648">
        <f t="shared" si="5"/>
        <v>3777508.0893785087</v>
      </c>
      <c r="R26" s="514">
        <v>1</v>
      </c>
      <c r="S26" s="438" t="s">
        <v>108</v>
      </c>
      <c r="T26" s="517" t="s">
        <v>273</v>
      </c>
      <c r="U26" s="422"/>
      <c r="V26" s="423"/>
      <c r="W26" s="438" t="s">
        <v>141</v>
      </c>
      <c r="X26" s="361" t="s">
        <v>293</v>
      </c>
      <c r="Y26" s="397"/>
      <c r="Z26" s="389">
        <f t="shared" si="2"/>
        <v>43901.251129849115</v>
      </c>
      <c r="AA26" s="96"/>
      <c r="AB26" s="28"/>
      <c r="AC26" s="401">
        <f t="shared" si="6"/>
        <v>3774295.9226358398</v>
      </c>
    </row>
    <row r="27" spans="1:29" ht="16.5" customHeight="1" thickBot="1">
      <c r="A27" s="486" t="s">
        <v>250</v>
      </c>
      <c r="B27" s="391"/>
      <c r="C27" s="502" t="s">
        <v>260</v>
      </c>
      <c r="D27" s="491">
        <v>116.57</v>
      </c>
      <c r="E27" s="491">
        <v>8.49</v>
      </c>
      <c r="F27" s="491">
        <f t="shared" si="8"/>
        <v>125.05999999999999</v>
      </c>
      <c r="G27" s="385">
        <v>0</v>
      </c>
      <c r="H27" s="385">
        <v>0</v>
      </c>
      <c r="I27" s="385">
        <v>0</v>
      </c>
      <c r="J27" s="668">
        <v>104</v>
      </c>
      <c r="K27" s="395">
        <v>3.3</v>
      </c>
      <c r="L27" s="427">
        <f t="shared" si="0"/>
        <v>128.35999999999999</v>
      </c>
      <c r="M27" s="442">
        <v>7.0000000000000007E-2</v>
      </c>
      <c r="N27" s="385"/>
      <c r="O27" s="126">
        <f t="shared" si="11"/>
        <v>5871797.8267920008</v>
      </c>
      <c r="P27" s="646">
        <f t="shared" si="9"/>
        <v>347610.43134608644</v>
      </c>
      <c r="Q27" s="647">
        <f t="shared" si="5"/>
        <v>5524187.395445914</v>
      </c>
      <c r="R27" s="428">
        <v>2</v>
      </c>
      <c r="S27" s="439"/>
      <c r="T27" s="439"/>
      <c r="U27" s="397"/>
      <c r="V27" s="399"/>
      <c r="W27" s="439"/>
      <c r="X27" s="473"/>
      <c r="Y27" s="397"/>
      <c r="Z27" s="400">
        <f t="shared" si="2"/>
        <v>46951.845728386383</v>
      </c>
      <c r="AA27" s="96"/>
      <c r="AB27" s="28"/>
      <c r="AC27" s="401">
        <f t="shared" si="6"/>
        <v>5519489.9571844805</v>
      </c>
    </row>
    <row r="28" spans="1:29" ht="16.5" customHeight="1" thickBot="1">
      <c r="A28" s="486" t="s">
        <v>250</v>
      </c>
      <c r="B28" s="405"/>
      <c r="C28" s="503" t="s">
        <v>261</v>
      </c>
      <c r="D28" s="493">
        <v>129.22999999999999</v>
      </c>
      <c r="E28" s="493">
        <v>5.21</v>
      </c>
      <c r="F28" s="491">
        <f t="shared" si="8"/>
        <v>134.44</v>
      </c>
      <c r="G28" s="408">
        <v>0</v>
      </c>
      <c r="H28" s="408">
        <v>0</v>
      </c>
      <c r="I28" s="408">
        <v>0</v>
      </c>
      <c r="J28" s="670">
        <v>105</v>
      </c>
      <c r="K28" s="409">
        <v>2.7</v>
      </c>
      <c r="L28" s="427">
        <f t="shared" si="0"/>
        <v>137.13999999999999</v>
      </c>
      <c r="M28" s="442">
        <v>0.06</v>
      </c>
      <c r="N28" s="408"/>
      <c r="O28" s="126">
        <f t="shared" si="11"/>
        <v>6234740.3395039998</v>
      </c>
      <c r="P28" s="646">
        <f t="shared" si="9"/>
        <v>369096.62809863681</v>
      </c>
      <c r="Q28" s="647">
        <f t="shared" si="5"/>
        <v>5865643.7114053629</v>
      </c>
      <c r="R28" s="428">
        <v>2</v>
      </c>
      <c r="S28" s="474"/>
      <c r="T28" s="474"/>
      <c r="U28" s="411"/>
      <c r="V28" s="412"/>
      <c r="W28" s="474"/>
      <c r="X28" s="473"/>
      <c r="Y28" s="411"/>
      <c r="Z28" s="400">
        <f t="shared" si="2"/>
        <v>46375.634777625703</v>
      </c>
      <c r="AA28" s="96"/>
      <c r="AB28" s="28"/>
      <c r="AC28" s="401">
        <f t="shared" si="6"/>
        <v>5860655.9191337591</v>
      </c>
    </row>
    <row r="29" spans="1:29" ht="16.5" customHeight="1" thickBot="1">
      <c r="A29" s="486" t="s">
        <v>250</v>
      </c>
      <c r="B29" s="494"/>
      <c r="C29" s="538" t="s">
        <v>262</v>
      </c>
      <c r="D29" s="539">
        <v>94.79</v>
      </c>
      <c r="E29" s="540">
        <v>4.17</v>
      </c>
      <c r="F29" s="536">
        <f>D29+E29</f>
        <v>98.960000000000008</v>
      </c>
      <c r="G29" s="497"/>
      <c r="H29" s="497"/>
      <c r="I29" s="497"/>
      <c r="J29" s="671">
        <v>110</v>
      </c>
      <c r="K29" s="498">
        <v>4.9000000000000004</v>
      </c>
      <c r="L29" s="427">
        <f t="shared" si="0"/>
        <v>103.86000000000001</v>
      </c>
      <c r="M29" s="442">
        <v>7.0000000000000007E-2</v>
      </c>
      <c r="N29" s="497"/>
      <c r="O29" s="126">
        <f t="shared" si="11"/>
        <v>4477563.7088240003</v>
      </c>
      <c r="P29" s="646">
        <f t="shared" si="9"/>
        <v>265071.77156238083</v>
      </c>
      <c r="Q29" s="647">
        <f t="shared" si="5"/>
        <v>4212491.9372616196</v>
      </c>
      <c r="R29" s="428">
        <v>1</v>
      </c>
      <c r="S29" s="541"/>
      <c r="T29" s="541"/>
      <c r="U29" s="499"/>
      <c r="V29" s="500"/>
      <c r="W29" s="541"/>
      <c r="X29" s="356"/>
      <c r="Y29" s="499"/>
      <c r="Z29" s="400">
        <f t="shared" si="2"/>
        <v>45246.197542683913</v>
      </c>
      <c r="AA29" s="96"/>
      <c r="AB29" s="28"/>
      <c r="AC29" s="401"/>
    </row>
    <row r="30" spans="1:29" ht="16.5" customHeight="1" thickBot="1">
      <c r="A30" s="504" t="s">
        <v>250</v>
      </c>
      <c r="B30" s="607"/>
      <c r="C30" s="505" t="s">
        <v>263</v>
      </c>
      <c r="D30" s="608">
        <v>86.5</v>
      </c>
      <c r="E30" s="506">
        <v>4.96</v>
      </c>
      <c r="F30" s="506">
        <f t="shared" si="8"/>
        <v>91.46</v>
      </c>
      <c r="G30" s="609"/>
      <c r="H30" s="609"/>
      <c r="I30" s="609"/>
      <c r="J30" s="672"/>
      <c r="K30" s="549"/>
      <c r="L30" s="513">
        <f t="shared" si="0"/>
        <v>91.46</v>
      </c>
      <c r="M30" s="414">
        <v>7.0000000000000007E-2</v>
      </c>
      <c r="N30" s="609"/>
      <c r="O30" s="176">
        <f t="shared" si="11"/>
        <v>4050699.3844000008</v>
      </c>
      <c r="P30" s="646">
        <f t="shared" si="9"/>
        <v>239801.40355648004</v>
      </c>
      <c r="Q30" s="648">
        <f t="shared" si="5"/>
        <v>3810897.9808435207</v>
      </c>
      <c r="R30" s="514">
        <v>1</v>
      </c>
      <c r="S30" s="643" t="s">
        <v>108</v>
      </c>
      <c r="T30" s="643" t="s">
        <v>323</v>
      </c>
      <c r="U30" s="612"/>
      <c r="V30" s="613"/>
      <c r="W30" s="643" t="s">
        <v>107</v>
      </c>
      <c r="X30" s="644" t="s">
        <v>118</v>
      </c>
      <c r="Y30" s="499"/>
      <c r="Z30" s="400">
        <f t="shared" si="2"/>
        <v>44289.300069975958</v>
      </c>
      <c r="AA30" s="96"/>
      <c r="AB30" s="28"/>
      <c r="AC30" s="401"/>
    </row>
    <row r="31" spans="1:29" ht="16.5" customHeight="1" thickBot="1">
      <c r="A31" s="486" t="s">
        <v>250</v>
      </c>
      <c r="B31" s="494"/>
      <c r="C31" s="542" t="s">
        <v>264</v>
      </c>
      <c r="D31" s="543">
        <v>122.06</v>
      </c>
      <c r="E31" s="544">
        <v>4.5599999999999996</v>
      </c>
      <c r="F31" s="536">
        <f t="shared" si="8"/>
        <v>126.62</v>
      </c>
      <c r="G31" s="497"/>
      <c r="H31" s="497"/>
      <c r="I31" s="497"/>
      <c r="J31" s="674"/>
      <c r="K31" s="574"/>
      <c r="L31" s="427">
        <f t="shared" si="0"/>
        <v>126.62</v>
      </c>
      <c r="M31" s="442">
        <v>7.0000000000000007E-2</v>
      </c>
      <c r="N31" s="497"/>
      <c r="O31" s="126">
        <f t="shared" si="11"/>
        <v>5894196.1755360002</v>
      </c>
      <c r="P31" s="646">
        <f t="shared" si="9"/>
        <v>348936.41359173122</v>
      </c>
      <c r="Q31" s="647">
        <f t="shared" si="5"/>
        <v>5545259.7619442688</v>
      </c>
      <c r="R31" s="428">
        <v>2</v>
      </c>
      <c r="S31" s="541"/>
      <c r="T31" s="541"/>
      <c r="U31" s="499"/>
      <c r="V31" s="500"/>
      <c r="W31" s="541"/>
      <c r="X31" s="356"/>
      <c r="Y31" s="499"/>
      <c r="Z31" s="400">
        <f t="shared" si="2"/>
        <v>46550.277803948826</v>
      </c>
      <c r="AA31" s="96"/>
      <c r="AB31" s="28"/>
      <c r="AC31" s="401"/>
    </row>
    <row r="32" spans="1:29" ht="16.5" customHeight="1" thickBot="1">
      <c r="A32" s="486" t="s">
        <v>250</v>
      </c>
      <c r="B32" s="379"/>
      <c r="C32" s="495" t="s">
        <v>265</v>
      </c>
      <c r="D32" s="496">
        <v>120.82</v>
      </c>
      <c r="E32" s="496">
        <v>0</v>
      </c>
      <c r="F32" s="491">
        <f t="shared" si="8"/>
        <v>120.82</v>
      </c>
      <c r="G32" s="442">
        <v>0</v>
      </c>
      <c r="H32" s="442">
        <v>0</v>
      </c>
      <c r="I32" s="518">
        <v>106.75</v>
      </c>
      <c r="J32" s="678">
        <v>138</v>
      </c>
      <c r="K32" s="383">
        <v>5.3</v>
      </c>
      <c r="L32" s="427">
        <f t="shared" si="0"/>
        <v>232.87</v>
      </c>
      <c r="M32" s="442">
        <v>0.06</v>
      </c>
      <c r="N32" s="442"/>
      <c r="O32" s="519">
        <f t="shared" ref="O32:O37" si="12">SUM((D32*(1+M32)*$AA$5*$AA$20)+(E32*$AA$12)+(G32*$AA$5)+(H32*$AA$11)+(I32*$AA$7)+(K32*$AA$6))+($R32*$AA$13-$AA$13)+(27000)</f>
        <v>7561710.0152156008</v>
      </c>
      <c r="P32" s="646">
        <f>O32*11.99%</f>
        <v>906649.03082435054</v>
      </c>
      <c r="Q32" s="647">
        <f t="shared" si="5"/>
        <v>6655060.9843912506</v>
      </c>
      <c r="R32" s="428">
        <v>2</v>
      </c>
      <c r="S32" s="398"/>
      <c r="T32" s="398"/>
      <c r="U32" s="398"/>
      <c r="V32" s="444"/>
      <c r="W32" s="444"/>
      <c r="X32" s="444"/>
      <c r="Y32" s="398"/>
      <c r="Z32" s="400">
        <f t="shared" si="2"/>
        <v>62586.575196288708</v>
      </c>
      <c r="AA32" s="96"/>
      <c r="AB32" s="28"/>
      <c r="AC32" s="401">
        <f t="shared" si="6"/>
        <v>7108007.4143026648</v>
      </c>
    </row>
    <row r="33" spans="1:29" ht="16.8" thickBot="1">
      <c r="A33" s="486" t="s">
        <v>250</v>
      </c>
      <c r="B33" s="391"/>
      <c r="C33" s="535" t="s">
        <v>266</v>
      </c>
      <c r="D33" s="536">
        <v>81.599999999999994</v>
      </c>
      <c r="E33" s="536">
        <v>4.8899999999999997</v>
      </c>
      <c r="F33" s="536">
        <f t="shared" si="8"/>
        <v>86.49</v>
      </c>
      <c r="G33" s="555">
        <v>0</v>
      </c>
      <c r="H33" s="555">
        <v>0</v>
      </c>
      <c r="I33" s="537">
        <v>75.59</v>
      </c>
      <c r="J33" s="679"/>
      <c r="K33" s="395"/>
      <c r="L33" s="546">
        <f t="shared" si="0"/>
        <v>162.07999999999998</v>
      </c>
      <c r="M33" s="545">
        <v>5.5E-2</v>
      </c>
      <c r="N33" s="545"/>
      <c r="O33" s="547">
        <f t="shared" si="12"/>
        <v>5369971.7453840002</v>
      </c>
      <c r="P33" s="646">
        <f t="shared" ref="P33:P37" si="13">O33*11.99%</f>
        <v>643859.61227154161</v>
      </c>
      <c r="Q33" s="647">
        <f t="shared" si="5"/>
        <v>4726112.1331124585</v>
      </c>
      <c r="R33" s="552">
        <v>2</v>
      </c>
      <c r="S33" s="572"/>
      <c r="T33" s="398"/>
      <c r="U33" s="445"/>
      <c r="V33" s="482"/>
      <c r="W33" s="482"/>
      <c r="X33" s="482"/>
      <c r="Y33" s="445"/>
      <c r="Z33" s="400">
        <f t="shared" si="2"/>
        <v>62087.775990102906</v>
      </c>
      <c r="AA33" s="96"/>
      <c r="AB33" s="28"/>
      <c r="AC33" s="401">
        <f t="shared" si="6"/>
        <v>5047773.44066096</v>
      </c>
    </row>
    <row r="34" spans="1:29" ht="16.8" thickBot="1">
      <c r="A34" s="504" t="s">
        <v>250</v>
      </c>
      <c r="B34" s="417"/>
      <c r="C34" s="505" t="s">
        <v>267</v>
      </c>
      <c r="D34" s="506">
        <v>152.31</v>
      </c>
      <c r="E34" s="506">
        <v>5.21</v>
      </c>
      <c r="F34" s="506">
        <f t="shared" si="8"/>
        <v>157.52000000000001</v>
      </c>
      <c r="G34" s="420">
        <v>0</v>
      </c>
      <c r="H34" s="420">
        <v>0</v>
      </c>
      <c r="I34" s="520">
        <v>49.24</v>
      </c>
      <c r="J34" s="680" t="s">
        <v>287</v>
      </c>
      <c r="K34" s="507">
        <v>6</v>
      </c>
      <c r="L34" s="513">
        <f t="shared" si="0"/>
        <v>212.76000000000002</v>
      </c>
      <c r="M34" s="420">
        <v>7.3999999999999996E-2</v>
      </c>
      <c r="N34" s="420"/>
      <c r="O34" s="521">
        <f t="shared" si="12"/>
        <v>8825906.5837484207</v>
      </c>
      <c r="P34" s="646">
        <f t="shared" si="13"/>
        <v>1058226.1993914356</v>
      </c>
      <c r="Q34" s="648">
        <f t="shared" si="5"/>
        <v>7767680.3843569849</v>
      </c>
      <c r="R34" s="514">
        <v>3</v>
      </c>
      <c r="S34" s="416" t="s">
        <v>108</v>
      </c>
      <c r="T34" s="416" t="s">
        <v>281</v>
      </c>
      <c r="U34" s="422"/>
      <c r="V34" s="423"/>
      <c r="W34" s="423" t="s">
        <v>136</v>
      </c>
      <c r="X34" s="615" t="s">
        <v>123</v>
      </c>
      <c r="Y34" s="397"/>
      <c r="Z34" s="400">
        <f t="shared" si="2"/>
        <v>56030.387149240858</v>
      </c>
      <c r="AA34" s="96"/>
      <c r="AB34" s="28"/>
      <c r="AC34" s="401">
        <f t="shared" si="6"/>
        <v>8296352.1887235148</v>
      </c>
    </row>
    <row r="35" spans="1:29" ht="16.8" thickBot="1">
      <c r="A35" s="504" t="s">
        <v>250</v>
      </c>
      <c r="B35" s="417"/>
      <c r="C35" s="505" t="s">
        <v>268</v>
      </c>
      <c r="D35" s="506">
        <v>110.15</v>
      </c>
      <c r="E35" s="506">
        <v>4.17</v>
      </c>
      <c r="F35" s="506">
        <f t="shared" si="8"/>
        <v>114.32000000000001</v>
      </c>
      <c r="G35" s="420"/>
      <c r="H35" s="420"/>
      <c r="I35" s="520">
        <v>36.92</v>
      </c>
      <c r="J35" s="680"/>
      <c r="K35" s="507"/>
      <c r="L35" s="513">
        <f t="shared" si="0"/>
        <v>151.24</v>
      </c>
      <c r="M35" s="420">
        <v>5.8999999999999997E-2</v>
      </c>
      <c r="N35" s="420"/>
      <c r="O35" s="521">
        <f t="shared" si="12"/>
        <v>6142203.0101205502</v>
      </c>
      <c r="P35" s="646">
        <f t="shared" si="13"/>
        <v>736450.140913454</v>
      </c>
      <c r="Q35" s="648">
        <f t="shared" si="5"/>
        <v>5405752.8692070963</v>
      </c>
      <c r="R35" s="514">
        <v>2</v>
      </c>
      <c r="S35" s="645" t="s">
        <v>108</v>
      </c>
      <c r="T35" s="645" t="s">
        <v>324</v>
      </c>
      <c r="U35" s="422"/>
      <c r="V35" s="423"/>
      <c r="W35" s="615" t="s">
        <v>114</v>
      </c>
      <c r="X35" s="615" t="s">
        <v>123</v>
      </c>
      <c r="Y35" s="397"/>
      <c r="Z35" s="400">
        <f t="shared" si="2"/>
        <v>53728.157891187453</v>
      </c>
      <c r="AA35" s="96"/>
      <c r="AB35" s="28"/>
      <c r="AC35" s="401"/>
    </row>
    <row r="36" spans="1:29" ht="16.8" thickBot="1">
      <c r="A36" s="486" t="s">
        <v>250</v>
      </c>
      <c r="B36" s="391"/>
      <c r="C36" s="535" t="s">
        <v>269</v>
      </c>
      <c r="D36" s="536">
        <v>81.53</v>
      </c>
      <c r="E36" s="536">
        <v>4.96</v>
      </c>
      <c r="F36" s="536">
        <f t="shared" si="8"/>
        <v>86.49</v>
      </c>
      <c r="G36" s="385"/>
      <c r="H36" s="385"/>
      <c r="I36" s="537">
        <v>75.61</v>
      </c>
      <c r="J36" s="681">
        <v>109</v>
      </c>
      <c r="K36" s="395">
        <v>2.7</v>
      </c>
      <c r="L36" s="427">
        <f t="shared" si="0"/>
        <v>164.79999999999998</v>
      </c>
      <c r="M36" s="385">
        <v>7.0000000000000007E-2</v>
      </c>
      <c r="N36" s="385"/>
      <c r="O36" s="519">
        <f t="shared" si="12"/>
        <v>5186936.2033152999</v>
      </c>
      <c r="P36" s="646">
        <f t="shared" si="13"/>
        <v>621913.65077750455</v>
      </c>
      <c r="Q36" s="647">
        <f t="shared" si="5"/>
        <v>4565022.5525377952</v>
      </c>
      <c r="R36" s="573">
        <v>1</v>
      </c>
      <c r="S36" s="398"/>
      <c r="T36" s="398"/>
      <c r="U36" s="397"/>
      <c r="V36" s="399"/>
      <c r="W36" s="399"/>
      <c r="X36" s="399"/>
      <c r="Y36" s="397"/>
      <c r="Z36" s="400">
        <f t="shared" si="2"/>
        <v>59971.51350809689</v>
      </c>
      <c r="AA36" s="96"/>
      <c r="AB36" s="28"/>
      <c r="AC36" s="401"/>
    </row>
    <row r="37" spans="1:29" ht="16.8" thickBot="1">
      <c r="A37" s="486" t="s">
        <v>250</v>
      </c>
      <c r="B37" s="391"/>
      <c r="C37" s="522" t="s">
        <v>270</v>
      </c>
      <c r="D37" s="523">
        <v>116.91</v>
      </c>
      <c r="E37" s="523">
        <v>4.5599999999999996</v>
      </c>
      <c r="F37" s="491">
        <f t="shared" si="8"/>
        <v>121.47</v>
      </c>
      <c r="G37" s="385">
        <v>0</v>
      </c>
      <c r="H37" s="385">
        <v>0</v>
      </c>
      <c r="I37" s="524">
        <v>118.11</v>
      </c>
      <c r="J37" s="681">
        <v>139</v>
      </c>
      <c r="K37" s="395">
        <v>5.3</v>
      </c>
      <c r="L37" s="385">
        <f t="shared" si="0"/>
        <v>244.88</v>
      </c>
      <c r="M37" s="385">
        <v>7.0000000000000007E-2</v>
      </c>
      <c r="N37" s="385"/>
      <c r="O37" s="519">
        <f t="shared" si="12"/>
        <v>7774367.9286690997</v>
      </c>
      <c r="P37" s="646">
        <f t="shared" si="13"/>
        <v>932146.71464742511</v>
      </c>
      <c r="Q37" s="647">
        <f t="shared" si="5"/>
        <v>6842221.2140216744</v>
      </c>
      <c r="R37" s="428">
        <v>2</v>
      </c>
      <c r="S37" s="398"/>
      <c r="T37" s="398"/>
      <c r="U37" s="397"/>
      <c r="V37" s="399"/>
      <c r="W37" s="399"/>
      <c r="X37" s="399"/>
      <c r="Y37" s="397"/>
      <c r="Z37" s="400">
        <f t="shared" si="2"/>
        <v>64002.370368560958</v>
      </c>
      <c r="AA37" s="446"/>
      <c r="AB37" s="28"/>
      <c r="AC37" s="401">
        <f t="shared" si="6"/>
        <v>7307905.8529489534</v>
      </c>
    </row>
    <row r="38" spans="1:29" ht="16.2">
      <c r="A38" s="447"/>
      <c r="B38" s="447"/>
      <c r="C38" s="448"/>
      <c r="D38" s="449"/>
      <c r="E38" s="449"/>
      <c r="F38" s="449"/>
      <c r="G38" s="449"/>
      <c r="H38" s="449"/>
      <c r="I38" s="449"/>
      <c r="J38" s="525"/>
      <c r="K38" s="449"/>
      <c r="L38" s="449"/>
      <c r="M38" s="449"/>
      <c r="N38" s="449"/>
      <c r="O38" s="450"/>
      <c r="P38" s="450"/>
      <c r="Q38" s="450"/>
      <c r="R38" s="447"/>
      <c r="S38" s="447"/>
      <c r="T38" s="447"/>
      <c r="U38" s="447"/>
      <c r="V38" s="451"/>
      <c r="W38" s="451"/>
      <c r="X38" s="451"/>
      <c r="Y38" s="447"/>
      <c r="Z38" s="447"/>
      <c r="AA38" s="28"/>
      <c r="AB38" s="28"/>
      <c r="AC38" s="401">
        <f t="shared" si="6"/>
        <v>0</v>
      </c>
    </row>
    <row r="39" spans="1:29" ht="15" hidden="1" customHeight="1">
      <c r="A39" s="28"/>
      <c r="B39" s="28"/>
      <c r="C39" s="452"/>
      <c r="D39" s="109">
        <f t="shared" ref="D39:I39" si="14">SUM(D4:D38)</f>
        <v>3644.1</v>
      </c>
      <c r="E39" s="109">
        <f t="shared" si="14"/>
        <v>120.62999999999998</v>
      </c>
      <c r="F39" s="109">
        <f t="shared" si="14"/>
        <v>3764.7299999999996</v>
      </c>
      <c r="G39" s="109">
        <f t="shared" si="14"/>
        <v>0</v>
      </c>
      <c r="H39" s="109">
        <f t="shared" si="14"/>
        <v>273.95</v>
      </c>
      <c r="I39" s="109">
        <f t="shared" si="14"/>
        <v>462.22</v>
      </c>
      <c r="J39" s="526"/>
      <c r="K39" s="109"/>
      <c r="L39" s="109">
        <f>SUM(L4:L38)</f>
        <v>4613.5</v>
      </c>
      <c r="M39" s="109"/>
      <c r="N39" s="109"/>
      <c r="O39" s="351">
        <f>SUM(O4:O38)</f>
        <v>184604212.27237847</v>
      </c>
      <c r="P39" s="351"/>
      <c r="Q39" s="351"/>
      <c r="R39" s="28"/>
      <c r="S39" s="28"/>
      <c r="T39" s="28"/>
      <c r="U39" s="28"/>
      <c r="V39" s="453"/>
      <c r="W39" s="453"/>
      <c r="X39" s="453"/>
      <c r="Y39" s="28"/>
      <c r="Z39" s="28"/>
      <c r="AA39" s="454"/>
      <c r="AB39" s="28"/>
      <c r="AC39" s="401">
        <f t="shared" si="6"/>
        <v>173527959.53603575</v>
      </c>
    </row>
    <row r="40" spans="1:29" ht="16.2"/>
    <row r="41" spans="1:29" ht="15" customHeight="1">
      <c r="F41" s="739" t="s">
        <v>304</v>
      </c>
      <c r="G41" s="739"/>
      <c r="H41" s="739"/>
      <c r="I41" s="739"/>
      <c r="J41" s="739"/>
      <c r="K41" s="739"/>
    </row>
  </sheetData>
  <mergeCells count="2">
    <mergeCell ref="H2:J2"/>
    <mergeCell ref="F41:K41"/>
  </mergeCells>
  <phoneticPr fontId="13" type="noConversion"/>
  <pageMargins left="0.75000000000000011" right="0.75000000000000011" top="1" bottom="1" header="0.5" footer="0.5"/>
  <pageSetup scale="65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-0.499984740745262"/>
    <pageSetUpPr fitToPage="1"/>
  </sheetPr>
  <dimension ref="A1:AD27"/>
  <sheetViews>
    <sheetView tabSelected="1" topLeftCell="C1" zoomScale="90" zoomScaleNormal="90" workbookViewId="0">
      <selection activeCell="V16" sqref="V16"/>
    </sheetView>
  </sheetViews>
  <sheetFormatPr baseColWidth="10" defaultColWidth="6.84375" defaultRowHeight="15" customHeight="1"/>
  <cols>
    <col min="1" max="1" width="7.15234375" style="356" customWidth="1"/>
    <col min="2" max="2" width="6.23046875" style="356" customWidth="1"/>
    <col min="3" max="3" width="6.3828125" style="356" customWidth="1"/>
    <col min="4" max="5" width="6.84375" style="356" customWidth="1"/>
    <col min="6" max="6" width="8.15234375" style="356" customWidth="1"/>
    <col min="7" max="7" width="6.84375" style="356" hidden="1" customWidth="1"/>
    <col min="8" max="8" width="7.3828125" style="356" customWidth="1"/>
    <col min="9" max="9" width="5.765625" style="356" customWidth="1"/>
    <col min="10" max="10" width="6.765625" style="356" customWidth="1"/>
    <col min="11" max="11" width="5.3828125" style="356" hidden="1" customWidth="1"/>
    <col min="12" max="12" width="10.84375" style="356" customWidth="1"/>
    <col min="13" max="14" width="10.84375" style="356" hidden="1" customWidth="1"/>
    <col min="15" max="15" width="13" style="356" customWidth="1"/>
    <col min="16" max="16" width="13" style="356" hidden="1" customWidth="1"/>
    <col min="17" max="17" width="13" style="356" customWidth="1"/>
    <col min="18" max="18" width="5.765625" style="362" customWidth="1"/>
    <col min="19" max="19" width="9.23046875" style="362" bestFit="1" customWidth="1"/>
    <col min="20" max="20" width="30.3828125" style="362" bestFit="1" customWidth="1"/>
    <col min="21" max="21" width="4.3828125" style="362" customWidth="1"/>
    <col min="22" max="22" width="8.4609375" style="363" bestFit="1" customWidth="1"/>
    <col min="23" max="23" width="7.84375" style="363" customWidth="1"/>
    <col min="24" max="24" width="7.4609375" style="363" customWidth="1"/>
    <col min="25" max="25" width="10.765625" style="362" hidden="1" customWidth="1"/>
    <col min="26" max="29" width="10.765625" style="356" hidden="1" customWidth="1"/>
    <col min="30" max="33" width="10.765625" style="356" customWidth="1"/>
    <col min="34" max="264" width="6.84375" style="356" customWidth="1"/>
    <col min="265" max="16384" width="6.84375" style="356"/>
  </cols>
  <sheetData>
    <row r="1" spans="1:30" ht="31.05" customHeight="1">
      <c r="A1" s="8" t="s">
        <v>0</v>
      </c>
      <c r="B1" s="364"/>
      <c r="C1" s="364"/>
      <c r="D1" s="364"/>
      <c r="E1" s="364"/>
      <c r="F1" s="364"/>
      <c r="G1" s="364"/>
      <c r="H1" s="364"/>
      <c r="I1" s="364"/>
      <c r="J1" s="477"/>
      <c r="K1" s="364"/>
      <c r="L1" s="364"/>
      <c r="M1" s="364"/>
      <c r="N1" s="364"/>
      <c r="O1" s="534">
        <v>21</v>
      </c>
      <c r="P1" s="534"/>
      <c r="Q1" s="534"/>
      <c r="R1" s="364"/>
      <c r="S1" s="364"/>
      <c r="T1" s="364"/>
      <c r="U1" s="364"/>
      <c r="V1" s="366"/>
      <c r="W1" s="366"/>
      <c r="X1" s="366"/>
      <c r="Y1" s="364"/>
      <c r="Z1" s="367"/>
      <c r="AA1" s="28"/>
      <c r="AB1" s="28"/>
      <c r="AC1" s="28"/>
    </row>
    <row r="2" spans="1:30" ht="32.4">
      <c r="A2" s="8" t="s">
        <v>247</v>
      </c>
      <c r="B2" s="368"/>
      <c r="C2" s="368"/>
      <c r="D2" s="368"/>
      <c r="E2" s="368"/>
      <c r="F2" s="368"/>
      <c r="G2" s="368"/>
      <c r="H2" s="368"/>
      <c r="I2" s="738"/>
      <c r="J2" s="738"/>
      <c r="K2" s="369" t="s">
        <v>156</v>
      </c>
      <c r="L2" s="368"/>
      <c r="M2" s="368"/>
      <c r="N2" s="368"/>
      <c r="O2" s="625" t="s">
        <v>337</v>
      </c>
      <c r="P2" s="625"/>
      <c r="Q2" s="625"/>
      <c r="R2" s="368"/>
      <c r="S2" s="368"/>
      <c r="T2" s="368"/>
      <c r="U2" s="368"/>
      <c r="V2" s="370"/>
      <c r="W2" s="370"/>
      <c r="X2" s="370"/>
      <c r="Y2" s="371" t="s">
        <v>156</v>
      </c>
      <c r="Z2" s="368"/>
      <c r="AA2" s="372"/>
      <c r="AB2" s="28"/>
      <c r="AC2" s="28"/>
    </row>
    <row r="3" spans="1:30" ht="49.2" thickBot="1">
      <c r="A3" s="373" t="s">
        <v>1</v>
      </c>
      <c r="B3" s="373" t="s">
        <v>2</v>
      </c>
      <c r="C3" s="373" t="s">
        <v>3</v>
      </c>
      <c r="D3" s="373" t="s">
        <v>62</v>
      </c>
      <c r="E3" s="373" t="s">
        <v>63</v>
      </c>
      <c r="F3" s="373" t="s">
        <v>6</v>
      </c>
      <c r="G3" s="373" t="s">
        <v>7</v>
      </c>
      <c r="H3" s="373" t="s">
        <v>8</v>
      </c>
      <c r="I3" s="373" t="s">
        <v>9</v>
      </c>
      <c r="J3" s="373" t="s">
        <v>147</v>
      </c>
      <c r="K3" s="373" t="s">
        <v>148</v>
      </c>
      <c r="L3" s="373" t="s">
        <v>11</v>
      </c>
      <c r="M3" s="374" t="s">
        <v>146</v>
      </c>
      <c r="N3" s="374"/>
      <c r="O3" s="373" t="s">
        <v>12</v>
      </c>
      <c r="P3" s="373"/>
      <c r="Q3" s="378" t="s">
        <v>326</v>
      </c>
      <c r="R3" s="375" t="s">
        <v>13</v>
      </c>
      <c r="S3" s="375" t="s">
        <v>102</v>
      </c>
      <c r="T3" s="375" t="s">
        <v>95</v>
      </c>
      <c r="U3" s="375" t="s">
        <v>103</v>
      </c>
      <c r="V3" s="376" t="s">
        <v>97</v>
      </c>
      <c r="W3" s="376" t="s">
        <v>98</v>
      </c>
      <c r="X3" s="376" t="s">
        <v>205</v>
      </c>
      <c r="Y3" s="377"/>
      <c r="Z3" s="378" t="s">
        <v>104</v>
      </c>
      <c r="AA3" s="96"/>
      <c r="AB3" s="28"/>
      <c r="AC3" s="28"/>
    </row>
    <row r="4" spans="1:30" s="358" customFormat="1" ht="16.8" thickBot="1">
      <c r="A4" s="456" t="s">
        <v>248</v>
      </c>
      <c r="B4" s="456" t="s">
        <v>64</v>
      </c>
      <c r="C4" s="380" t="s">
        <v>65</v>
      </c>
      <c r="D4" s="381">
        <v>115</v>
      </c>
      <c r="E4" s="381">
        <v>3.5</v>
      </c>
      <c r="F4" s="381">
        <f t="shared" ref="F4:F23" si="0">D4+E4</f>
        <v>118.5</v>
      </c>
      <c r="G4" s="382">
        <v>0</v>
      </c>
      <c r="H4" s="383">
        <v>89.6</v>
      </c>
      <c r="I4" s="382">
        <v>0</v>
      </c>
      <c r="J4" s="384"/>
      <c r="K4" s="382"/>
      <c r="L4" s="382">
        <f t="shared" ref="L4:L23" si="1">D4+E4+G4+H4+I4+K4</f>
        <v>208.1</v>
      </c>
      <c r="M4" s="382">
        <v>7.0000000000000001E-3</v>
      </c>
      <c r="N4" s="382"/>
      <c r="O4" s="350">
        <f>SUM((D4*(1+M4)*$AA$5)+(E4*$AA$9)+(G4*$AA$5)+(H4*$AA$8)+(I4*$AA$7)+(K4*$AA$6))+($R4*$AA$10-$AA$10)+(27000)</f>
        <v>7437108.8399999999</v>
      </c>
      <c r="P4" s="646">
        <f>O4*9.89%</f>
        <v>735530.06427600002</v>
      </c>
      <c r="Q4" s="647">
        <f>O4-P4</f>
        <v>6701578.7757239994</v>
      </c>
      <c r="R4" s="386">
        <v>2</v>
      </c>
      <c r="S4" s="387"/>
      <c r="T4" s="386"/>
      <c r="U4" s="386"/>
      <c r="V4" s="388"/>
      <c r="W4" s="388"/>
      <c r="X4" s="388"/>
      <c r="Y4" s="386"/>
      <c r="Z4" s="389">
        <f t="shared" ref="Z4:Z23" si="2">O4/F4</f>
        <v>62760.41215189873</v>
      </c>
      <c r="AA4" s="254"/>
      <c r="AB4" s="255"/>
      <c r="AC4" s="390">
        <f t="shared" ref="AC4" si="3">O4*0.94</f>
        <v>6990882.3095999993</v>
      </c>
      <c r="AD4" s="357"/>
    </row>
    <row r="5" spans="1:30" ht="16.8" thickBot="1">
      <c r="A5" s="456" t="s">
        <v>248</v>
      </c>
      <c r="B5" s="461" t="s">
        <v>66</v>
      </c>
      <c r="C5" s="392" t="s">
        <v>67</v>
      </c>
      <c r="D5" s="393">
        <v>99</v>
      </c>
      <c r="E5" s="394">
        <v>6</v>
      </c>
      <c r="F5" s="394">
        <f t="shared" si="0"/>
        <v>105</v>
      </c>
      <c r="G5" s="385">
        <v>0</v>
      </c>
      <c r="H5" s="395">
        <v>54.9</v>
      </c>
      <c r="I5" s="385">
        <v>0</v>
      </c>
      <c r="J5" s="559"/>
      <c r="K5" s="558"/>
      <c r="L5" s="385">
        <f t="shared" si="1"/>
        <v>159.9</v>
      </c>
      <c r="M5" s="385"/>
      <c r="N5" s="385"/>
      <c r="O5" s="350">
        <f>SUM((D5*(1+M5)*$AA$5)+(E5*$AA$9)+(G5*$AA$5)+(H5*$AA$8)+(I5*$AA$7)+(K5*$AA$6))+($R5*$AA$10-$AA$10)+(27000)</f>
        <v>5948046.7000000002</v>
      </c>
      <c r="P5" s="646">
        <f>O5*9.89%</f>
        <v>588261.81862999999</v>
      </c>
      <c r="Q5" s="647">
        <f t="shared" ref="Q5:Q23" si="4">O5-P5</f>
        <v>5359784.8813700005</v>
      </c>
      <c r="R5" s="397">
        <v>2</v>
      </c>
      <c r="S5" s="398"/>
      <c r="T5" s="386"/>
      <c r="U5" s="397"/>
      <c r="V5" s="399"/>
      <c r="W5" s="399"/>
      <c r="X5" s="399"/>
      <c r="Y5" s="397"/>
      <c r="Z5" s="400">
        <f t="shared" si="2"/>
        <v>56648.06380952381</v>
      </c>
      <c r="AA5" s="120">
        <v>39728</v>
      </c>
      <c r="AB5" s="97" t="s">
        <v>18</v>
      </c>
      <c r="AC5" s="401">
        <f t="shared" ref="AC5:AC25" si="5">+O5*0.94</f>
        <v>5591163.898</v>
      </c>
    </row>
    <row r="6" spans="1:30" ht="16.8" thickBot="1">
      <c r="A6" s="456" t="s">
        <v>248</v>
      </c>
      <c r="B6" s="461" t="s">
        <v>68</v>
      </c>
      <c r="C6" s="402" t="s">
        <v>69</v>
      </c>
      <c r="D6" s="403">
        <v>114</v>
      </c>
      <c r="E6" s="404">
        <v>3.5</v>
      </c>
      <c r="F6" s="394">
        <f t="shared" si="0"/>
        <v>117.5</v>
      </c>
      <c r="G6" s="385">
        <v>0</v>
      </c>
      <c r="H6" s="395">
        <v>62.17</v>
      </c>
      <c r="I6" s="385">
        <v>0</v>
      </c>
      <c r="J6" s="396"/>
      <c r="K6" s="385"/>
      <c r="L6" s="385">
        <f t="shared" si="1"/>
        <v>179.67000000000002</v>
      </c>
      <c r="M6" s="385"/>
      <c r="N6" s="385"/>
      <c r="O6" s="350">
        <f>SUM((D6*(1+M6)*$AA$5)+(E6*$AA$9)+(G6*$AA$5)+(H6*$AA$8)+(I6*$AA$7)+(K6*$AA$6))+($R6*$AA$10-$AA$10)+(27000)</f>
        <v>6636502.4100000001</v>
      </c>
      <c r="P6" s="646">
        <f>O6*9.89%</f>
        <v>656350.08834899997</v>
      </c>
      <c r="Q6" s="647">
        <f t="shared" si="4"/>
        <v>5980152.3216510005</v>
      </c>
      <c r="R6" s="397">
        <v>2</v>
      </c>
      <c r="S6" s="398"/>
      <c r="T6" s="386"/>
      <c r="U6" s="397"/>
      <c r="V6" s="399"/>
      <c r="W6" s="399"/>
      <c r="X6" s="399"/>
      <c r="Y6" s="397"/>
      <c r="Z6" s="400">
        <f t="shared" si="2"/>
        <v>56480.871574468089</v>
      </c>
      <c r="AA6" s="96">
        <v>19820</v>
      </c>
      <c r="AB6" s="97" t="s">
        <v>10</v>
      </c>
      <c r="AC6" s="401">
        <f t="shared" si="5"/>
        <v>6238312.2653999999</v>
      </c>
    </row>
    <row r="7" spans="1:30" ht="16.8" thickBot="1">
      <c r="A7" s="456" t="s">
        <v>248</v>
      </c>
      <c r="B7" s="462" t="s">
        <v>64</v>
      </c>
      <c r="C7" s="378" t="s">
        <v>70</v>
      </c>
      <c r="D7" s="406">
        <v>115</v>
      </c>
      <c r="E7" s="407">
        <v>3.5</v>
      </c>
      <c r="F7" s="407">
        <f t="shared" si="0"/>
        <v>118.5</v>
      </c>
      <c r="G7" s="408">
        <v>0</v>
      </c>
      <c r="H7" s="409">
        <v>90.62</v>
      </c>
      <c r="I7" s="408">
        <v>0</v>
      </c>
      <c r="J7" s="410">
        <v>132</v>
      </c>
      <c r="K7" s="408">
        <v>6</v>
      </c>
      <c r="L7" s="408">
        <f t="shared" si="1"/>
        <v>215.12</v>
      </c>
      <c r="M7" s="408">
        <v>8.0000000000000002E-3</v>
      </c>
      <c r="N7" s="408"/>
      <c r="O7" s="350">
        <f>SUM((D7*(1+M7)*$AA$5)+(E7*$AA$9)+(G7*$AA$5)+(H7*$AA$8)+(I7*$AA$7)+(K7*$AA$6))+($R7*$AA$10-$AA$10)+(27000)</f>
        <v>7587702.0199999996</v>
      </c>
      <c r="P7" s="646">
        <f>O7*9.89%</f>
        <v>750423.72977799992</v>
      </c>
      <c r="Q7" s="647">
        <f t="shared" si="4"/>
        <v>6837278.2902219994</v>
      </c>
      <c r="R7" s="411">
        <v>2</v>
      </c>
      <c r="S7" s="398"/>
      <c r="T7" s="386"/>
      <c r="U7" s="411"/>
      <c r="V7" s="412"/>
      <c r="W7" s="412"/>
      <c r="X7" s="412"/>
      <c r="Y7" s="411"/>
      <c r="Z7" s="400">
        <f t="shared" si="2"/>
        <v>64031.24067510548</v>
      </c>
      <c r="AA7" s="120">
        <v>18464</v>
      </c>
      <c r="AB7" s="97" t="s">
        <v>9</v>
      </c>
      <c r="AC7" s="401">
        <f t="shared" si="5"/>
        <v>7132439.8987999996</v>
      </c>
    </row>
    <row r="8" spans="1:30" ht="16.8" thickBot="1">
      <c r="A8" s="456" t="s">
        <v>248</v>
      </c>
      <c r="B8" s="456" t="s">
        <v>64</v>
      </c>
      <c r="C8" s="440" t="s">
        <v>71</v>
      </c>
      <c r="D8" s="441">
        <v>115</v>
      </c>
      <c r="E8" s="441">
        <v>3.5</v>
      </c>
      <c r="F8" s="441">
        <f t="shared" si="0"/>
        <v>118.5</v>
      </c>
      <c r="G8" s="442"/>
      <c r="H8" s="442">
        <v>0</v>
      </c>
      <c r="I8" s="442">
        <v>0</v>
      </c>
      <c r="J8" s="424"/>
      <c r="K8" s="442"/>
      <c r="L8" s="442">
        <f t="shared" si="1"/>
        <v>118.5</v>
      </c>
      <c r="M8" s="442"/>
      <c r="N8" s="442"/>
      <c r="O8" s="126">
        <f>SUM((D8*(1+M8)*$AA$5*$AA$11)+(E8*$AA$9)+(G8*$AA$5)+(H8*$AA$8)+(I8*$AA$7)+(K8*$AA$6))+($R8*$AA$10-$AA$10) +(27000)+246057</f>
        <v>5315931.2</v>
      </c>
      <c r="P8" s="646">
        <f>O8*5%</f>
        <v>265796.56</v>
      </c>
      <c r="Q8" s="647">
        <f t="shared" si="4"/>
        <v>5050134.6400000006</v>
      </c>
      <c r="R8" s="398">
        <v>2</v>
      </c>
      <c r="S8" s="398"/>
      <c r="T8" s="398"/>
      <c r="U8" s="398"/>
      <c r="V8" s="444"/>
      <c r="W8" s="444"/>
      <c r="X8" s="464"/>
      <c r="Y8" s="398"/>
      <c r="Z8" s="400">
        <f t="shared" si="2"/>
        <v>44860.178902953587</v>
      </c>
      <c r="AA8" s="120">
        <v>26573</v>
      </c>
      <c r="AB8" s="97" t="s">
        <v>23</v>
      </c>
      <c r="AC8" s="401">
        <f t="shared" si="5"/>
        <v>4996975.3279999997</v>
      </c>
    </row>
    <row r="9" spans="1:30" ht="16.8" thickBot="1">
      <c r="A9" s="465" t="s">
        <v>248</v>
      </c>
      <c r="B9" s="466" t="s">
        <v>68</v>
      </c>
      <c r="C9" s="418" t="s">
        <v>72</v>
      </c>
      <c r="D9" s="419">
        <v>114</v>
      </c>
      <c r="E9" s="419">
        <v>3.5</v>
      </c>
      <c r="F9" s="419">
        <f t="shared" si="0"/>
        <v>117.5</v>
      </c>
      <c r="G9" s="420">
        <v>0</v>
      </c>
      <c r="H9" s="420">
        <v>0</v>
      </c>
      <c r="I9" s="420">
        <v>0</v>
      </c>
      <c r="J9" s="421"/>
      <c r="K9" s="420"/>
      <c r="L9" s="420">
        <f t="shared" si="1"/>
        <v>117.5</v>
      </c>
      <c r="M9" s="420"/>
      <c r="N9" s="420"/>
      <c r="O9" s="176">
        <f>SUM((D9*(1+M9)*$AA$5*$AA$11)+(E9*$AA$9)+(G9*$AA$5)+(H9*$AA$8)+(I9*$AA$7)+(K9*$AA$6))+($R9*$AA$10-$AA$10)+(27000)</f>
        <v>5029748.92</v>
      </c>
      <c r="P9" s="646">
        <f t="shared" ref="P9:P19" si="6">O9*5%</f>
        <v>251487.446</v>
      </c>
      <c r="Q9" s="648">
        <f t="shared" si="4"/>
        <v>4778261.4739999995</v>
      </c>
      <c r="R9" s="422">
        <v>2</v>
      </c>
      <c r="S9" s="422" t="s">
        <v>108</v>
      </c>
      <c r="T9" s="422" t="s">
        <v>284</v>
      </c>
      <c r="U9" s="422"/>
      <c r="V9" s="423"/>
      <c r="W9" s="423" t="s">
        <v>136</v>
      </c>
      <c r="X9" s="359" t="s">
        <v>290</v>
      </c>
      <c r="Y9" s="397"/>
      <c r="Z9" s="400">
        <f t="shared" si="2"/>
        <v>42806.373787234043</v>
      </c>
      <c r="AA9" s="120">
        <v>40260</v>
      </c>
      <c r="AB9" s="97" t="s">
        <v>73</v>
      </c>
      <c r="AC9" s="401">
        <f t="shared" si="5"/>
        <v>4727963.9847999997</v>
      </c>
    </row>
    <row r="10" spans="1:30" ht="16.8" thickBot="1">
      <c r="A10" s="790" t="s">
        <v>248</v>
      </c>
      <c r="B10" s="780" t="s">
        <v>68</v>
      </c>
      <c r="C10" s="781" t="s">
        <v>74</v>
      </c>
      <c r="D10" s="782">
        <v>114</v>
      </c>
      <c r="E10" s="782">
        <v>3.5</v>
      </c>
      <c r="F10" s="782">
        <f t="shared" si="0"/>
        <v>117.5</v>
      </c>
      <c r="G10" s="783">
        <v>0</v>
      </c>
      <c r="H10" s="783">
        <v>0</v>
      </c>
      <c r="I10" s="783">
        <v>0</v>
      </c>
      <c r="J10" s="784"/>
      <c r="K10" s="783"/>
      <c r="L10" s="783">
        <f t="shared" si="1"/>
        <v>117.5</v>
      </c>
      <c r="M10" s="783"/>
      <c r="N10" s="783"/>
      <c r="O10" s="703">
        <f>SUM((D10*(1+M10)*$AA$5*$AA$11)+(E10*$AA$9)+(G10*$AA$5)+(H10*$AA$8)+(I10*$AA$7)+(K10*$AA$6))+($R10*$AA$10-$AA$10)+(27000)+244110</f>
        <v>5273858.92</v>
      </c>
      <c r="P10" s="785">
        <f t="shared" si="6"/>
        <v>263692.946</v>
      </c>
      <c r="Q10" s="786">
        <f t="shared" si="4"/>
        <v>5010165.9739999995</v>
      </c>
      <c r="R10" s="787">
        <v>2</v>
      </c>
      <c r="S10" s="787" t="s">
        <v>309</v>
      </c>
      <c r="T10" s="787" t="s">
        <v>330</v>
      </c>
      <c r="U10" s="787">
        <v>21</v>
      </c>
      <c r="V10" s="788">
        <v>43529</v>
      </c>
      <c r="W10" s="788" t="s">
        <v>307</v>
      </c>
      <c r="X10" s="789" t="s">
        <v>118</v>
      </c>
      <c r="Y10" s="397"/>
      <c r="Z10" s="400">
        <f t="shared" si="2"/>
        <v>44883.90570212766</v>
      </c>
      <c r="AA10" s="120">
        <v>287557</v>
      </c>
      <c r="AB10" s="97" t="s">
        <v>27</v>
      </c>
      <c r="AC10" s="401">
        <f t="shared" si="5"/>
        <v>4957427.3847999992</v>
      </c>
    </row>
    <row r="11" spans="1:30" ht="16.8" thickBot="1">
      <c r="A11" s="463" t="s">
        <v>248</v>
      </c>
      <c r="B11" s="463" t="s">
        <v>64</v>
      </c>
      <c r="C11" s="467" t="s">
        <v>75</v>
      </c>
      <c r="D11" s="468">
        <v>115</v>
      </c>
      <c r="E11" s="468">
        <v>3.5</v>
      </c>
      <c r="F11" s="468">
        <f t="shared" si="0"/>
        <v>118.5</v>
      </c>
      <c r="G11" s="469">
        <v>0</v>
      </c>
      <c r="H11" s="469">
        <v>0</v>
      </c>
      <c r="I11" s="469">
        <v>0</v>
      </c>
      <c r="J11" s="470"/>
      <c r="K11" s="469"/>
      <c r="L11" s="469">
        <f t="shared" si="1"/>
        <v>118.5</v>
      </c>
      <c r="M11" s="469"/>
      <c r="N11" s="469"/>
      <c r="O11" s="455">
        <f>SUM((D11*(1+M11)*$AA$5*$AA$11)+(E11*$AA$9)+(G11*$AA$5)+(H11*$AA$8)+(I11*$AA$7)+(K11*$AA$6))+($R11*$AA$10-$AA$10)+(27000)+246057</f>
        <v>5315931.2</v>
      </c>
      <c r="P11" s="646">
        <f t="shared" si="6"/>
        <v>265796.56</v>
      </c>
      <c r="Q11" s="648">
        <f t="shared" si="4"/>
        <v>5050134.6400000006</v>
      </c>
      <c r="R11" s="471">
        <v>2</v>
      </c>
      <c r="S11" s="472" t="s">
        <v>108</v>
      </c>
      <c r="T11" s="478" t="s">
        <v>285</v>
      </c>
      <c r="U11" s="479"/>
      <c r="V11" s="480"/>
      <c r="W11" s="481" t="s">
        <v>114</v>
      </c>
      <c r="X11" s="359" t="s">
        <v>291</v>
      </c>
      <c r="Y11" s="428"/>
      <c r="Z11" s="400">
        <f t="shared" si="2"/>
        <v>44860.178902953587</v>
      </c>
      <c r="AA11" s="98">
        <v>1.01</v>
      </c>
      <c r="AB11" s="97" t="s">
        <v>106</v>
      </c>
      <c r="AC11" s="401">
        <f t="shared" si="5"/>
        <v>4996975.3279999997</v>
      </c>
    </row>
    <row r="12" spans="1:30" ht="16.8" thickBot="1">
      <c r="A12" s="456" t="s">
        <v>248</v>
      </c>
      <c r="B12" s="456" t="s">
        <v>64</v>
      </c>
      <c r="C12" s="380" t="s">
        <v>76</v>
      </c>
      <c r="D12" s="381">
        <v>115</v>
      </c>
      <c r="E12" s="381">
        <v>3.5</v>
      </c>
      <c r="F12" s="381">
        <f t="shared" si="0"/>
        <v>118.5</v>
      </c>
      <c r="G12" s="382">
        <v>0</v>
      </c>
      <c r="H12" s="529">
        <v>0</v>
      </c>
      <c r="I12" s="382">
        <v>0</v>
      </c>
      <c r="J12" s="424">
        <v>136</v>
      </c>
      <c r="K12" s="382">
        <v>5.75</v>
      </c>
      <c r="L12" s="382">
        <f t="shared" si="1"/>
        <v>124.25</v>
      </c>
      <c r="M12" s="385">
        <v>5.5E-2</v>
      </c>
      <c r="N12" s="382"/>
      <c r="O12" s="126">
        <f>SUM((D12*(1+M12)*$AA$5*$AA$12)+(E12*$AA$9)+(G12*$AA$5)+(H12*$AA$8)+(I12*$AA$7)+(K12*$AA$6))+($R12*$AA$10-$AA$10)+(27000)</f>
        <v>5509931.5899999989</v>
      </c>
      <c r="P12" s="646">
        <f t="shared" si="6"/>
        <v>275496.57949999993</v>
      </c>
      <c r="Q12" s="647">
        <f t="shared" si="4"/>
        <v>5234435.0104999989</v>
      </c>
      <c r="R12" s="386">
        <v>2</v>
      </c>
      <c r="S12" s="433"/>
      <c r="T12" s="434"/>
      <c r="U12" s="435"/>
      <c r="V12" s="436"/>
      <c r="W12" s="437"/>
      <c r="X12" s="360"/>
      <c r="Y12" s="386"/>
      <c r="Z12" s="400">
        <f t="shared" si="2"/>
        <v>46497.31299578058</v>
      </c>
      <c r="AA12" s="98">
        <v>1.0249999999999999</v>
      </c>
      <c r="AB12" s="97" t="s">
        <v>31</v>
      </c>
      <c r="AC12" s="401">
        <f t="shared" si="5"/>
        <v>5179335.6945999991</v>
      </c>
    </row>
    <row r="13" spans="1:30" ht="16.8" thickBot="1">
      <c r="A13" s="456" t="s">
        <v>248</v>
      </c>
      <c r="B13" s="461" t="s">
        <v>68</v>
      </c>
      <c r="C13" s="392" t="s">
        <v>77</v>
      </c>
      <c r="D13" s="394">
        <v>114</v>
      </c>
      <c r="E13" s="394">
        <v>3.5</v>
      </c>
      <c r="F13" s="394">
        <f t="shared" si="0"/>
        <v>117.5</v>
      </c>
      <c r="G13" s="385">
        <v>0</v>
      </c>
      <c r="H13" s="385">
        <v>0</v>
      </c>
      <c r="I13" s="385">
        <v>0</v>
      </c>
      <c r="J13" s="410">
        <v>137</v>
      </c>
      <c r="K13" s="385">
        <v>5.65</v>
      </c>
      <c r="L13" s="385">
        <f t="shared" si="1"/>
        <v>123.15</v>
      </c>
      <c r="M13" s="385">
        <v>6.5000000000000002E-2</v>
      </c>
      <c r="N13" s="385"/>
      <c r="O13" s="126">
        <f>SUM((D13*(1+M13)*$AA$5*$AA$12)+(E13*$AA$9)+(G13*$AA$5)+(H13*$AA$8)+(I13*$AA$7)+(K13*$AA$6))+($R13*$AA$10-$AA$10)+(27000)+267483</f>
        <v>5778893.8919999991</v>
      </c>
      <c r="P13" s="646">
        <f t="shared" si="6"/>
        <v>288944.69459999999</v>
      </c>
      <c r="Q13" s="647">
        <f t="shared" si="4"/>
        <v>5489949.197399999</v>
      </c>
      <c r="R13" s="397">
        <v>2</v>
      </c>
      <c r="S13" s="515"/>
      <c r="T13" s="437"/>
      <c r="U13" s="435"/>
      <c r="V13" s="436"/>
      <c r="W13" s="437"/>
      <c r="X13" s="360"/>
      <c r="Y13" s="397"/>
      <c r="Z13" s="400">
        <f t="shared" si="2"/>
        <v>49182.075676595734</v>
      </c>
      <c r="AA13" s="98">
        <v>1.04</v>
      </c>
      <c r="AB13" s="97" t="s">
        <v>105</v>
      </c>
      <c r="AC13" s="401">
        <f t="shared" si="5"/>
        <v>5432160.2584799984</v>
      </c>
    </row>
    <row r="14" spans="1:30" ht="16.8" thickBot="1">
      <c r="A14" s="456" t="s">
        <v>248</v>
      </c>
      <c r="B14" s="461" t="s">
        <v>68</v>
      </c>
      <c r="C14" s="392" t="s">
        <v>78</v>
      </c>
      <c r="D14" s="394">
        <v>114</v>
      </c>
      <c r="E14" s="394">
        <v>3.5</v>
      </c>
      <c r="F14" s="394">
        <f t="shared" si="0"/>
        <v>117.5</v>
      </c>
      <c r="G14" s="385">
        <v>0</v>
      </c>
      <c r="H14" s="385">
        <v>0</v>
      </c>
      <c r="I14" s="385">
        <v>0</v>
      </c>
      <c r="J14" s="561"/>
      <c r="K14" s="558"/>
      <c r="L14" s="385">
        <f t="shared" si="1"/>
        <v>117.5</v>
      </c>
      <c r="M14" s="385">
        <v>6.5000000000000002E-2</v>
      </c>
      <c r="N14" s="385"/>
      <c r="O14" s="126">
        <f>SUM((D14*(1+M14)*$AA$5*$AA$12)+(E14*$AA$9)+(G14*$AA$5)+(H14*$AA$8)+(I14*$AA$7)+(K14*$AA$6))+($R14*$AA$10-$AA$10)+(27000)+267292</f>
        <v>5666719.8919999991</v>
      </c>
      <c r="P14" s="646">
        <f t="shared" si="6"/>
        <v>283335.99459999998</v>
      </c>
      <c r="Q14" s="647">
        <f t="shared" si="4"/>
        <v>5383383.8973999992</v>
      </c>
      <c r="R14" s="397">
        <v>2</v>
      </c>
      <c r="S14" s="397"/>
      <c r="T14" s="397"/>
      <c r="U14" s="397"/>
      <c r="V14" s="399"/>
      <c r="W14" s="399"/>
      <c r="X14" s="399"/>
      <c r="Y14" s="397"/>
      <c r="Z14" s="400">
        <f t="shared" si="2"/>
        <v>48227.403336170202</v>
      </c>
      <c r="AA14" s="98">
        <v>1.03</v>
      </c>
      <c r="AB14" s="97" t="s">
        <v>33</v>
      </c>
      <c r="AC14" s="401">
        <f t="shared" si="5"/>
        <v>5326716.6984799989</v>
      </c>
    </row>
    <row r="15" spans="1:30" ht="16.8" thickBot="1">
      <c r="A15" s="456" t="s">
        <v>248</v>
      </c>
      <c r="B15" s="462" t="s">
        <v>64</v>
      </c>
      <c r="C15" s="378" t="s">
        <v>79</v>
      </c>
      <c r="D15" s="407">
        <v>115</v>
      </c>
      <c r="E15" s="407">
        <v>3.5</v>
      </c>
      <c r="F15" s="407">
        <f t="shared" si="0"/>
        <v>118.5</v>
      </c>
      <c r="G15" s="408">
        <v>0</v>
      </c>
      <c r="H15" s="408">
        <v>0</v>
      </c>
      <c r="I15" s="408">
        <v>0</v>
      </c>
      <c r="J15" s="410">
        <v>135</v>
      </c>
      <c r="K15" s="408">
        <v>6.25</v>
      </c>
      <c r="L15" s="408">
        <f t="shared" si="1"/>
        <v>124.75</v>
      </c>
      <c r="M15" s="385">
        <v>5.5E-2</v>
      </c>
      <c r="N15" s="408"/>
      <c r="O15" s="126">
        <f>SUM((D15*(1+M15)*$AA$5*$AA$12)+(E15*$AA$9)+(G15*$AA$5)+(H15*$AA$8)+(I15*$AA$7)+(K15*$AA$6))+($R15*$AA$10-$AA$10)+(27000)</f>
        <v>5519841.5899999989</v>
      </c>
      <c r="P15" s="646">
        <f t="shared" si="6"/>
        <v>275992.07949999993</v>
      </c>
      <c r="Q15" s="647">
        <f t="shared" si="4"/>
        <v>5243849.5104999989</v>
      </c>
      <c r="R15" s="411">
        <v>2</v>
      </c>
      <c r="S15" s="411"/>
      <c r="T15" s="411"/>
      <c r="U15" s="411"/>
      <c r="V15" s="412"/>
      <c r="W15" s="412"/>
      <c r="X15" s="412"/>
      <c r="Y15" s="411"/>
      <c r="Z15" s="400">
        <f t="shared" si="2"/>
        <v>46580.941687763705</v>
      </c>
      <c r="AA15" s="98"/>
      <c r="AB15" s="28"/>
      <c r="AC15" s="401">
        <f t="shared" si="5"/>
        <v>5188651.0945999986</v>
      </c>
    </row>
    <row r="16" spans="1:30" ht="16.8" thickBot="1">
      <c r="A16" s="456" t="s">
        <v>248</v>
      </c>
      <c r="B16" s="456" t="s">
        <v>64</v>
      </c>
      <c r="C16" s="440" t="s">
        <v>80</v>
      </c>
      <c r="D16" s="441">
        <v>115</v>
      </c>
      <c r="E16" s="441">
        <v>3.5</v>
      </c>
      <c r="F16" s="441">
        <f t="shared" si="0"/>
        <v>118.5</v>
      </c>
      <c r="G16" s="442">
        <v>0</v>
      </c>
      <c r="H16" s="442">
        <v>0</v>
      </c>
      <c r="I16" s="442">
        <v>0</v>
      </c>
      <c r="J16" s="424"/>
      <c r="K16" s="442"/>
      <c r="L16" s="442">
        <f t="shared" si="1"/>
        <v>118.5</v>
      </c>
      <c r="M16" s="385">
        <v>5.5E-2</v>
      </c>
      <c r="N16" s="442"/>
      <c r="O16" s="126">
        <f>SUM((D16*(1+M16)*$AA$5*$AA$13)+(E16*$AA$9)+(G16*$AA$5)+(H16*$AA$8)+(I16*$AA$7)+(K16*$AA$6))+($R16*$AA$10-$AA$10)+(27000)</f>
        <v>5468266.5839999998</v>
      </c>
      <c r="P16" s="646">
        <f t="shared" si="6"/>
        <v>273413.32919999998</v>
      </c>
      <c r="Q16" s="647">
        <f t="shared" si="4"/>
        <v>5194853.2548000002</v>
      </c>
      <c r="R16" s="398">
        <v>2</v>
      </c>
      <c r="S16" s="398"/>
      <c r="T16" s="398"/>
      <c r="U16" s="398"/>
      <c r="V16" s="444"/>
      <c r="W16" s="444"/>
      <c r="X16" s="444"/>
      <c r="Y16" s="398"/>
      <c r="Z16" s="400">
        <f t="shared" si="2"/>
        <v>46145.709569620252</v>
      </c>
      <c r="AA16" s="96"/>
      <c r="AB16" s="28"/>
      <c r="AC16" s="401">
        <f t="shared" si="5"/>
        <v>5140170.5889599994</v>
      </c>
    </row>
    <row r="17" spans="1:29" ht="16.8" thickBot="1">
      <c r="A17" s="456" t="s">
        <v>248</v>
      </c>
      <c r="B17" s="461" t="s">
        <v>68</v>
      </c>
      <c r="C17" s="392" t="s">
        <v>81</v>
      </c>
      <c r="D17" s="394">
        <v>114</v>
      </c>
      <c r="E17" s="394">
        <v>3.5</v>
      </c>
      <c r="F17" s="394">
        <f t="shared" si="0"/>
        <v>117.5</v>
      </c>
      <c r="G17" s="385">
        <v>0</v>
      </c>
      <c r="H17" s="385">
        <v>0</v>
      </c>
      <c r="I17" s="385">
        <v>0</v>
      </c>
      <c r="J17" s="410"/>
      <c r="K17" s="385"/>
      <c r="L17" s="385">
        <f t="shared" si="1"/>
        <v>117.5</v>
      </c>
      <c r="M17" s="385">
        <v>6.5000000000000002E-2</v>
      </c>
      <c r="N17" s="385"/>
      <c r="O17" s="126">
        <f>SUM((D17*(1+M17)*$AA$5*$AA$13)+(E17*$AA$9)+(G17*$AA$5)+(H17*$AA$8)+(I17*$AA$7)+(K17*$AA$6))+($R17*$AA$10-$AA$10)+(27000)+265559</f>
        <v>5737337.5391999995</v>
      </c>
      <c r="P17" s="646">
        <f t="shared" si="6"/>
        <v>286866.87695999997</v>
      </c>
      <c r="Q17" s="647">
        <f t="shared" si="4"/>
        <v>5450470.6622399995</v>
      </c>
      <c r="R17" s="397">
        <v>2</v>
      </c>
      <c r="S17" s="439"/>
      <c r="T17" s="439"/>
      <c r="U17" s="397"/>
      <c r="V17" s="399"/>
      <c r="W17" s="439"/>
      <c r="X17" s="473"/>
      <c r="Y17" s="397"/>
      <c r="Z17" s="400">
        <f t="shared" si="2"/>
        <v>48828.404588936166</v>
      </c>
      <c r="AA17" s="96"/>
      <c r="AB17" s="28"/>
      <c r="AC17" s="401">
        <f t="shared" si="5"/>
        <v>5393097.2868479993</v>
      </c>
    </row>
    <row r="18" spans="1:29" ht="16.8" thickBot="1">
      <c r="A18" s="456" t="s">
        <v>248</v>
      </c>
      <c r="B18" s="461" t="s">
        <v>68</v>
      </c>
      <c r="C18" s="392" t="s">
        <v>82</v>
      </c>
      <c r="D18" s="394">
        <v>114</v>
      </c>
      <c r="E18" s="394">
        <v>3.5</v>
      </c>
      <c r="F18" s="394">
        <f t="shared" si="0"/>
        <v>117.5</v>
      </c>
      <c r="G18" s="385">
        <v>0</v>
      </c>
      <c r="H18" s="385">
        <v>0</v>
      </c>
      <c r="I18" s="385">
        <v>0</v>
      </c>
      <c r="J18" s="424"/>
      <c r="K18" s="385"/>
      <c r="L18" s="385">
        <f t="shared" si="1"/>
        <v>117.5</v>
      </c>
      <c r="M18" s="385">
        <v>6.5000000000000002E-2</v>
      </c>
      <c r="N18" s="385"/>
      <c r="O18" s="126">
        <f>SUM((D18*(1+M18)*$AA$5*$AA$13)+(E18*$AA$9)+(G18*$AA$5)+(H18*$AA$8)+(I18*$AA$7)+(K18*$AA$6))+($R18*$AA$10-$AA$10)+(27000)+265560</f>
        <v>5737338.5391999995</v>
      </c>
      <c r="P18" s="646">
        <f t="shared" si="6"/>
        <v>286866.92696000001</v>
      </c>
      <c r="Q18" s="647">
        <f t="shared" si="4"/>
        <v>5450471.6122399997</v>
      </c>
      <c r="R18" s="397">
        <v>2</v>
      </c>
      <c r="S18" s="439"/>
      <c r="T18" s="439"/>
      <c r="U18" s="397"/>
      <c r="V18" s="399"/>
      <c r="W18" s="439"/>
      <c r="X18" s="473"/>
      <c r="Y18" s="397"/>
      <c r="Z18" s="400">
        <f t="shared" si="2"/>
        <v>48828.413099574464</v>
      </c>
      <c r="AA18" s="96"/>
      <c r="AB18" s="28"/>
      <c r="AC18" s="401">
        <f t="shared" si="5"/>
        <v>5393098.2268479988</v>
      </c>
    </row>
    <row r="19" spans="1:29" ht="16.8" thickBot="1">
      <c r="A19" s="456" t="s">
        <v>248</v>
      </c>
      <c r="B19" s="462" t="s">
        <v>64</v>
      </c>
      <c r="C19" s="378" t="s">
        <v>83</v>
      </c>
      <c r="D19" s="407">
        <v>115</v>
      </c>
      <c r="E19" s="407">
        <v>3.5</v>
      </c>
      <c r="F19" s="407">
        <f t="shared" si="0"/>
        <v>118.5</v>
      </c>
      <c r="G19" s="408">
        <v>0</v>
      </c>
      <c r="H19" s="408">
        <v>0</v>
      </c>
      <c r="I19" s="408">
        <v>0</v>
      </c>
      <c r="J19" s="562"/>
      <c r="K19" s="563"/>
      <c r="L19" s="408">
        <f t="shared" si="1"/>
        <v>118.5</v>
      </c>
      <c r="M19" s="408">
        <v>5.5E-2</v>
      </c>
      <c r="N19" s="408"/>
      <c r="O19" s="126">
        <f>SUM((D19*(1+M19)*$AA$5*$AA$13)+(E19*$AA$9)+(G19*$AA$5)+(H19*$AA$8)+(I19*$AA$7)+(K19*$AA$6))+($R19*$AA$10-$AA$10)+(27000)</f>
        <v>5468266.5839999998</v>
      </c>
      <c r="P19" s="646">
        <f t="shared" si="6"/>
        <v>273413.32919999998</v>
      </c>
      <c r="Q19" s="647">
        <f t="shared" si="4"/>
        <v>5194853.2548000002</v>
      </c>
      <c r="R19" s="411">
        <v>2</v>
      </c>
      <c r="S19" s="474"/>
      <c r="T19" s="474"/>
      <c r="U19" s="411"/>
      <c r="V19" s="412"/>
      <c r="W19" s="474"/>
      <c r="X19" s="473"/>
      <c r="Y19" s="411"/>
      <c r="Z19" s="400">
        <f t="shared" si="2"/>
        <v>46145.709569620252</v>
      </c>
      <c r="AA19" s="96"/>
      <c r="AB19" s="28"/>
      <c r="AC19" s="401">
        <f t="shared" si="5"/>
        <v>5140170.5889599994</v>
      </c>
    </row>
    <row r="20" spans="1:29" ht="16.8" thickBot="1">
      <c r="A20" s="456" t="s">
        <v>248</v>
      </c>
      <c r="B20" s="456" t="s">
        <v>64</v>
      </c>
      <c r="C20" s="440" t="s">
        <v>84</v>
      </c>
      <c r="D20" s="441">
        <v>115</v>
      </c>
      <c r="E20" s="441">
        <v>3.5</v>
      </c>
      <c r="F20" s="441">
        <f t="shared" si="0"/>
        <v>118.5</v>
      </c>
      <c r="G20" s="442">
        <v>0</v>
      </c>
      <c r="H20" s="442">
        <v>0</v>
      </c>
      <c r="I20" s="441">
        <v>99.05</v>
      </c>
      <c r="J20" s="443">
        <v>134</v>
      </c>
      <c r="K20" s="442">
        <v>5.8</v>
      </c>
      <c r="L20" s="442">
        <f t="shared" si="1"/>
        <v>223.35000000000002</v>
      </c>
      <c r="M20" s="442">
        <v>0.06</v>
      </c>
      <c r="N20" s="442"/>
      <c r="O20" s="126">
        <f>SUM((D20*(1+M20)*$AA$5*$AA$14)+(E20*$AA$9)+(G20*$AA$5)+(H20*$AA$8)+(I20*$AA$7)+(K20*$AA$6))+($R20*$AA$10-$AA$10)+(27000)</f>
        <v>7387410.6960000005</v>
      </c>
      <c r="P20" s="646">
        <f>O20*9.89%</f>
        <v>730614.91783440008</v>
      </c>
      <c r="Q20" s="647">
        <f t="shared" si="4"/>
        <v>6656795.7781656003</v>
      </c>
      <c r="R20" s="398">
        <v>2</v>
      </c>
      <c r="S20" s="398"/>
      <c r="T20" s="398"/>
      <c r="U20" s="398"/>
      <c r="V20" s="444"/>
      <c r="W20" s="444"/>
      <c r="X20" s="444"/>
      <c r="Y20" s="398"/>
      <c r="Z20" s="400">
        <f t="shared" si="2"/>
        <v>62341.018531645575</v>
      </c>
      <c r="AA20" s="96"/>
      <c r="AB20" s="28"/>
      <c r="AC20" s="401">
        <f t="shared" si="5"/>
        <v>6944166.0542400004</v>
      </c>
    </row>
    <row r="21" spans="1:29" ht="16.8" thickBot="1">
      <c r="A21" s="456" t="s">
        <v>248</v>
      </c>
      <c r="B21" s="461" t="s">
        <v>68</v>
      </c>
      <c r="C21" s="553" t="s">
        <v>85</v>
      </c>
      <c r="D21" s="554">
        <v>114</v>
      </c>
      <c r="E21" s="554">
        <v>3.5</v>
      </c>
      <c r="F21" s="554">
        <f t="shared" si="0"/>
        <v>117.5</v>
      </c>
      <c r="G21" s="555">
        <v>0</v>
      </c>
      <c r="H21" s="555">
        <v>0</v>
      </c>
      <c r="I21" s="441">
        <v>99.05</v>
      </c>
      <c r="J21" s="476">
        <v>133</v>
      </c>
      <c r="K21" s="555">
        <v>5.3</v>
      </c>
      <c r="L21" s="555">
        <f t="shared" si="1"/>
        <v>221.85000000000002</v>
      </c>
      <c r="M21" s="385">
        <v>6.5000000000000002E-2</v>
      </c>
      <c r="N21" s="555"/>
      <c r="O21" s="126">
        <f>SUM((D21*(1+M21)*$AA$5*$AA$14)+(E21*$AA$9)+(G21*$AA$5)+(H21*$AA$8)+(I21*$AA$7)+(K21*$AA$6))+($R21*$AA$10-$AA$10)+(27000)+356496</f>
        <v>7713945.9743999997</v>
      </c>
      <c r="P21" s="646">
        <f>O21*9.89%</f>
        <v>762909.25686815998</v>
      </c>
      <c r="Q21" s="647">
        <f t="shared" si="4"/>
        <v>6951036.7175318394</v>
      </c>
      <c r="R21" s="445">
        <v>2</v>
      </c>
      <c r="S21" s="445"/>
      <c r="T21" s="445"/>
      <c r="U21" s="445"/>
      <c r="V21" s="482"/>
      <c r="W21" s="482"/>
      <c r="X21" s="482"/>
      <c r="Y21" s="445"/>
      <c r="Z21" s="400">
        <f t="shared" si="2"/>
        <v>65650.604037446799</v>
      </c>
      <c r="AA21" s="96"/>
      <c r="AB21" s="28"/>
      <c r="AC21" s="401">
        <f t="shared" si="5"/>
        <v>7251109.2159359995</v>
      </c>
    </row>
    <row r="22" spans="1:29" ht="16.8" thickBot="1">
      <c r="A22" s="740" t="s">
        <v>248</v>
      </c>
      <c r="B22" s="741" t="s">
        <v>68</v>
      </c>
      <c r="C22" s="742" t="s">
        <v>86</v>
      </c>
      <c r="D22" s="743">
        <v>114</v>
      </c>
      <c r="E22" s="743">
        <v>3.5</v>
      </c>
      <c r="F22" s="743">
        <f t="shared" si="0"/>
        <v>117.5</v>
      </c>
      <c r="G22" s="558">
        <v>0</v>
      </c>
      <c r="H22" s="558">
        <v>0</v>
      </c>
      <c r="I22" s="744">
        <v>99.05</v>
      </c>
      <c r="J22" s="560"/>
      <c r="K22" s="558"/>
      <c r="L22" s="558">
        <f t="shared" si="1"/>
        <v>216.55</v>
      </c>
      <c r="M22" s="558">
        <v>6.5000000000000002E-2</v>
      </c>
      <c r="N22" s="558"/>
      <c r="O22" s="718">
        <f>SUM((D22*(1+M22)*$AA$5*$AA$14)+(E22*$AA$9)+(G22*$AA$5)+(H22*$AA$8)+(I22*$AA$7)+(K22*$AA$6))+($R22*$AA$10-$AA$10)+(27000)</f>
        <v>7539960.9743999997</v>
      </c>
      <c r="P22" s="745">
        <f>O22*9.89%</f>
        <v>745702.14036815998</v>
      </c>
      <c r="Q22" s="746">
        <f t="shared" si="4"/>
        <v>6794258.8340318399</v>
      </c>
      <c r="R22" s="528">
        <v>3</v>
      </c>
      <c r="S22" s="747" t="s">
        <v>344</v>
      </c>
      <c r="T22" s="747" t="s">
        <v>345</v>
      </c>
      <c r="U22" s="747"/>
      <c r="V22" s="748"/>
      <c r="W22" s="748" t="s">
        <v>343</v>
      </c>
      <c r="X22" s="748" t="s">
        <v>346</v>
      </c>
      <c r="Y22" s="397"/>
      <c r="Z22" s="400">
        <f t="shared" si="2"/>
        <v>64169.880633191489</v>
      </c>
      <c r="AA22" s="96"/>
      <c r="AB22" s="28"/>
      <c r="AC22" s="401">
        <f t="shared" si="5"/>
        <v>7087563.3159359992</v>
      </c>
    </row>
    <row r="23" spans="1:29" ht="16.2">
      <c r="A23" s="456" t="s">
        <v>248</v>
      </c>
      <c r="B23" s="461" t="s">
        <v>64</v>
      </c>
      <c r="C23" s="392" t="s">
        <v>87</v>
      </c>
      <c r="D23" s="394">
        <v>115</v>
      </c>
      <c r="E23" s="394">
        <v>3.5</v>
      </c>
      <c r="F23" s="394">
        <f t="shared" si="0"/>
        <v>118.5</v>
      </c>
      <c r="G23" s="385">
        <v>0</v>
      </c>
      <c r="H23" s="385">
        <v>0</v>
      </c>
      <c r="I23" s="441">
        <v>99.05</v>
      </c>
      <c r="J23" s="557"/>
      <c r="K23" s="558"/>
      <c r="L23" s="385">
        <f t="shared" si="1"/>
        <v>217.55</v>
      </c>
      <c r="M23" s="385">
        <v>5.5E-2</v>
      </c>
      <c r="N23" s="385"/>
      <c r="O23" s="126">
        <f>SUM((D23*(1+M23)*$AA$5*$AA$14)+(E23*$AA$9)+(G23*$AA$5)+(H23*$AA$8)+(I23*$AA$7)+(K23*$AA$6))+($R23*$AA$10-$AA$10)+(27000)</f>
        <v>7536482.7879999997</v>
      </c>
      <c r="P23" s="646">
        <f>O23*9.89%</f>
        <v>745358.14773319999</v>
      </c>
      <c r="Q23" s="647">
        <f t="shared" si="4"/>
        <v>6791124.6402667994</v>
      </c>
      <c r="R23" s="483">
        <v>3</v>
      </c>
      <c r="S23" s="397"/>
      <c r="T23" s="397"/>
      <c r="U23" s="397"/>
      <c r="V23" s="399"/>
      <c r="W23" s="399"/>
      <c r="X23" s="399"/>
      <c r="Y23" s="397"/>
      <c r="Z23" s="400">
        <f t="shared" si="2"/>
        <v>63599.010869198311</v>
      </c>
      <c r="AA23" s="446"/>
      <c r="AB23" s="28"/>
      <c r="AC23" s="401">
        <f t="shared" si="5"/>
        <v>7084293.8207199993</v>
      </c>
    </row>
    <row r="24" spans="1:29" ht="16.8" hidden="1" thickBot="1">
      <c r="A24" s="456"/>
      <c r="B24" s="457"/>
      <c r="C24" s="448"/>
      <c r="D24" s="449"/>
      <c r="E24" s="449"/>
      <c r="F24" s="449"/>
      <c r="G24" s="449"/>
      <c r="H24" s="449"/>
      <c r="I24" s="449"/>
      <c r="J24" s="449"/>
      <c r="K24" s="449"/>
      <c r="L24" s="449"/>
      <c r="M24" s="449"/>
      <c r="N24" s="449"/>
      <c r="O24" s="450"/>
      <c r="P24" s="646">
        <f t="shared" ref="P24:P27" si="7">O24*10.89%</f>
        <v>0</v>
      </c>
      <c r="Q24" s="450"/>
      <c r="R24" s="447"/>
      <c r="S24" s="447"/>
      <c r="T24" s="447"/>
      <c r="U24" s="447"/>
      <c r="V24" s="451"/>
      <c r="W24" s="451"/>
      <c r="X24" s="451"/>
      <c r="Y24" s="447"/>
      <c r="Z24" s="447"/>
      <c r="AA24" s="28"/>
      <c r="AB24" s="28"/>
      <c r="AC24" s="401">
        <f t="shared" si="5"/>
        <v>0</v>
      </c>
    </row>
    <row r="25" spans="1:29" ht="16.8" hidden="1" thickBot="1">
      <c r="A25" s="456"/>
      <c r="B25" s="458"/>
      <c r="C25" s="452"/>
      <c r="D25" s="109">
        <f t="shared" ref="D25:I25" si="8">SUM(D4:D24)</f>
        <v>2275</v>
      </c>
      <c r="E25" s="109">
        <f t="shared" si="8"/>
        <v>72.5</v>
      </c>
      <c r="F25" s="109">
        <f t="shared" si="8"/>
        <v>2347.5</v>
      </c>
      <c r="G25" s="109">
        <f t="shared" si="8"/>
        <v>0</v>
      </c>
      <c r="H25" s="109">
        <f t="shared" si="8"/>
        <v>297.29000000000002</v>
      </c>
      <c r="I25" s="109">
        <f t="shared" si="8"/>
        <v>396.2</v>
      </c>
      <c r="J25" s="109"/>
      <c r="K25" s="109"/>
      <c r="L25" s="109">
        <f>SUM(L4:L24)</f>
        <v>3075.7400000000002</v>
      </c>
      <c r="M25" s="109"/>
      <c r="N25" s="109"/>
      <c r="O25" s="351">
        <f>SUM(O4:O24)</f>
        <v>123609226.85319999</v>
      </c>
      <c r="P25" s="646">
        <f t="shared" si="7"/>
        <v>13461044.804313481</v>
      </c>
      <c r="Q25" s="351"/>
      <c r="R25" s="28"/>
      <c r="S25" s="28"/>
      <c r="T25" s="28"/>
      <c r="U25" s="28"/>
      <c r="V25" s="453"/>
      <c r="W25" s="453"/>
      <c r="X25" s="453"/>
      <c r="Y25" s="28"/>
      <c r="Z25" s="28"/>
      <c r="AA25" s="454"/>
      <c r="AB25" s="28"/>
      <c r="AC25" s="401">
        <f t="shared" si="5"/>
        <v>116192673.24200799</v>
      </c>
    </row>
    <row r="26" spans="1:29" ht="16.2" hidden="1">
      <c r="A26" s="456"/>
      <c r="B26" s="459"/>
      <c r="P26" s="646">
        <f t="shared" si="7"/>
        <v>0</v>
      </c>
    </row>
    <row r="27" spans="1:29" ht="16.2" hidden="1">
      <c r="B27" s="459"/>
      <c r="P27" s="646">
        <f t="shared" si="7"/>
        <v>0</v>
      </c>
    </row>
  </sheetData>
  <mergeCells count="1">
    <mergeCell ref="I2:J2"/>
  </mergeCells>
  <phoneticPr fontId="13" type="noConversion"/>
  <hyperlinks>
    <hyperlink ref="A1" location="MAGENTA!A1" display="VENTANAS COYOACAN" xr:uid="{00000000-0004-0000-0900-000000000000}"/>
  </hyperlinks>
  <pageMargins left="0.75000000000000011" right="0.75000000000000011" top="1" bottom="1" header="0.5" footer="0.5"/>
  <pageSetup scale="76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-0.249977111117893"/>
    <pageSetUpPr fitToPage="1"/>
  </sheetPr>
  <dimension ref="A1:AD26"/>
  <sheetViews>
    <sheetView zoomScale="80" zoomScaleNormal="80" workbookViewId="0">
      <selection activeCell="Q3" sqref="Q3"/>
    </sheetView>
  </sheetViews>
  <sheetFormatPr baseColWidth="10" defaultColWidth="6.84375" defaultRowHeight="15" customHeight="1"/>
  <cols>
    <col min="1" max="1" width="7.15234375" style="356" customWidth="1"/>
    <col min="2" max="2" width="6.23046875" style="356" customWidth="1"/>
    <col min="3" max="3" width="6.3828125" style="356" customWidth="1"/>
    <col min="4" max="5" width="6.84375" style="356" customWidth="1"/>
    <col min="6" max="6" width="8.15234375" style="356" customWidth="1"/>
    <col min="7" max="7" width="6.84375" style="356" hidden="1" customWidth="1"/>
    <col min="8" max="8" width="7.3828125" style="356" customWidth="1"/>
    <col min="9" max="9" width="5.765625" style="356" customWidth="1"/>
    <col min="10" max="10" width="6.765625" style="356" hidden="1" customWidth="1"/>
    <col min="11" max="11" width="5.3828125" style="356" hidden="1" customWidth="1"/>
    <col min="12" max="14" width="10.84375" style="356" hidden="1" customWidth="1"/>
    <col min="15" max="15" width="13" style="356" customWidth="1"/>
    <col min="16" max="16" width="13" style="356" hidden="1" customWidth="1"/>
    <col min="17" max="17" width="13" style="356" customWidth="1"/>
    <col min="18" max="18" width="5.765625" style="362" customWidth="1"/>
    <col min="19" max="19" width="8.15234375" style="362" customWidth="1"/>
    <col min="20" max="20" width="18.15234375" style="362" customWidth="1"/>
    <col min="21" max="21" width="4.3828125" style="362" customWidth="1"/>
    <col min="22" max="23" width="7.84375" style="363" customWidth="1"/>
    <col min="24" max="24" width="5.61328125" style="363" customWidth="1"/>
    <col min="25" max="25" width="10.765625" style="362" hidden="1" customWidth="1"/>
    <col min="26" max="29" width="10.765625" style="356" hidden="1" customWidth="1"/>
    <col min="30" max="33" width="10.765625" style="356" customWidth="1"/>
    <col min="34" max="264" width="6.84375" style="356" customWidth="1"/>
    <col min="265" max="16384" width="6.84375" style="356"/>
  </cols>
  <sheetData>
    <row r="1" spans="1:30" ht="28.2">
      <c r="A1" s="8" t="s">
        <v>0</v>
      </c>
      <c r="B1" s="364"/>
      <c r="C1" s="364"/>
      <c r="D1" s="364"/>
      <c r="E1" s="364"/>
      <c r="F1" s="364"/>
      <c r="G1" s="364"/>
      <c r="H1" s="364"/>
      <c r="I1" s="364"/>
      <c r="J1" s="365">
        <v>13</v>
      </c>
      <c r="K1" s="364"/>
      <c r="L1" s="364"/>
      <c r="M1" s="364"/>
      <c r="N1" s="364"/>
      <c r="O1" s="532">
        <v>19</v>
      </c>
      <c r="P1" s="532"/>
      <c r="Q1" s="532"/>
      <c r="R1" s="364"/>
      <c r="S1" s="364"/>
      <c r="T1" s="364"/>
      <c r="U1" s="364"/>
      <c r="V1" s="366"/>
      <c r="W1" s="366"/>
      <c r="X1" s="366"/>
      <c r="Y1" s="364"/>
      <c r="Z1" s="367"/>
      <c r="AA1" s="28"/>
      <c r="AB1" s="28"/>
      <c r="AC1" s="28"/>
    </row>
    <row r="2" spans="1:30" ht="32.4">
      <c r="A2" s="8" t="s">
        <v>245</v>
      </c>
      <c r="B2" s="368"/>
      <c r="C2" s="368"/>
      <c r="D2" s="368"/>
      <c r="E2" s="368"/>
      <c r="F2" s="368"/>
      <c r="G2" s="368"/>
      <c r="H2" s="738"/>
      <c r="I2" s="738"/>
      <c r="J2" s="738"/>
      <c r="K2" s="369" t="s">
        <v>156</v>
      </c>
      <c r="L2" s="368"/>
      <c r="M2" s="368"/>
      <c r="N2" s="368"/>
      <c r="O2" s="625" t="s">
        <v>340</v>
      </c>
      <c r="P2" s="625"/>
      <c r="Q2" s="625"/>
      <c r="R2" s="368"/>
      <c r="S2" s="368"/>
      <c r="T2" s="368"/>
      <c r="U2" s="368"/>
      <c r="V2" s="370"/>
      <c r="W2" s="370"/>
      <c r="X2" s="370"/>
      <c r="Y2" s="371" t="s">
        <v>156</v>
      </c>
      <c r="Z2" s="368"/>
      <c r="AA2" s="372"/>
      <c r="AB2" s="28"/>
      <c r="AC2" s="28"/>
    </row>
    <row r="3" spans="1:30" ht="49.2" thickBot="1">
      <c r="A3" s="373" t="s">
        <v>1</v>
      </c>
      <c r="B3" s="373" t="s">
        <v>2</v>
      </c>
      <c r="C3" s="373" t="s">
        <v>3</v>
      </c>
      <c r="D3" s="373" t="s">
        <v>62</v>
      </c>
      <c r="E3" s="373" t="s">
        <v>63</v>
      </c>
      <c r="F3" s="373" t="s">
        <v>6</v>
      </c>
      <c r="G3" s="373" t="s">
        <v>7</v>
      </c>
      <c r="H3" s="373" t="s">
        <v>8</v>
      </c>
      <c r="I3" s="373" t="s">
        <v>9</v>
      </c>
      <c r="J3" s="373" t="s">
        <v>147</v>
      </c>
      <c r="K3" s="373" t="s">
        <v>148</v>
      </c>
      <c r="L3" s="373" t="s">
        <v>11</v>
      </c>
      <c r="M3" s="374" t="s">
        <v>146</v>
      </c>
      <c r="N3" s="374"/>
      <c r="O3" s="373" t="s">
        <v>12</v>
      </c>
      <c r="P3" s="373"/>
      <c r="Q3" s="378" t="s">
        <v>326</v>
      </c>
      <c r="R3" s="375" t="s">
        <v>13</v>
      </c>
      <c r="S3" s="375" t="s">
        <v>102</v>
      </c>
      <c r="T3" s="375" t="s">
        <v>95</v>
      </c>
      <c r="U3" s="375" t="s">
        <v>103</v>
      </c>
      <c r="V3" s="376" t="s">
        <v>97</v>
      </c>
      <c r="W3" s="376" t="s">
        <v>98</v>
      </c>
      <c r="X3" s="376" t="s">
        <v>205</v>
      </c>
      <c r="Y3" s="377"/>
      <c r="Z3" s="378" t="s">
        <v>104</v>
      </c>
      <c r="AA3" s="96"/>
      <c r="AB3" s="28"/>
      <c r="AC3" s="28"/>
    </row>
    <row r="4" spans="1:30" s="358" customFormat="1" ht="16.8" thickBot="1">
      <c r="A4" s="379" t="s">
        <v>246</v>
      </c>
      <c r="B4" s="379" t="s">
        <v>64</v>
      </c>
      <c r="C4" s="380" t="s">
        <v>65</v>
      </c>
      <c r="D4" s="381">
        <v>115</v>
      </c>
      <c r="E4" s="381">
        <v>3.5</v>
      </c>
      <c r="F4" s="381">
        <f t="shared" ref="F4:F23" si="0">D4+E4</f>
        <v>118.5</v>
      </c>
      <c r="G4" s="382">
        <v>0</v>
      </c>
      <c r="H4" s="383">
        <v>68.86</v>
      </c>
      <c r="I4" s="382">
        <v>0</v>
      </c>
      <c r="J4" s="384"/>
      <c r="K4" s="382"/>
      <c r="L4" s="382">
        <f t="shared" ref="L4:L23" si="1">D4+E4+G4+H4+I4+K4</f>
        <v>187.36</v>
      </c>
      <c r="M4" s="385">
        <v>0.03</v>
      </c>
      <c r="N4" s="382"/>
      <c r="O4" s="350">
        <f>SUM((D4*(1+M4)*$AA$5)+(E4*$AA$9)+(G4*$AA$5)+(H4*$AA$8)+(I4*$AA$7)+(K4*$AA$6))+($R4*$AA$10-$AA$10)+(27000)</f>
        <v>7131470.9200000009</v>
      </c>
      <c r="P4" s="646">
        <f>O4*9.89%</f>
        <v>705302.47398800007</v>
      </c>
      <c r="Q4" s="647">
        <f>O4-P4</f>
        <v>6426168.4460120006</v>
      </c>
      <c r="R4" s="386">
        <v>2</v>
      </c>
      <c r="S4" s="387"/>
      <c r="T4" s="386"/>
      <c r="U4" s="386"/>
      <c r="V4" s="388"/>
      <c r="W4" s="388"/>
      <c r="X4" s="388"/>
      <c r="Y4" s="386"/>
      <c r="Z4" s="389">
        <f t="shared" ref="Z4:Z23" si="2">O4/F4</f>
        <v>60181.18919831224</v>
      </c>
      <c r="AA4" s="254"/>
      <c r="AB4" s="255"/>
      <c r="AC4" s="390">
        <f t="shared" ref="AC4" si="3">O4*0.94</f>
        <v>6703582.6648000004</v>
      </c>
      <c r="AD4" s="357"/>
    </row>
    <row r="5" spans="1:30" ht="16.8" thickBot="1">
      <c r="A5" s="379" t="s">
        <v>246</v>
      </c>
      <c r="B5" s="391" t="s">
        <v>66</v>
      </c>
      <c r="C5" s="392" t="s">
        <v>67</v>
      </c>
      <c r="D5" s="393">
        <v>99</v>
      </c>
      <c r="E5" s="394">
        <v>6</v>
      </c>
      <c r="F5" s="394">
        <f t="shared" si="0"/>
        <v>105</v>
      </c>
      <c r="G5" s="385">
        <v>0</v>
      </c>
      <c r="H5" s="395">
        <v>54.42</v>
      </c>
      <c r="I5" s="385">
        <v>0</v>
      </c>
      <c r="J5" s="396"/>
      <c r="K5" s="385"/>
      <c r="L5" s="385">
        <f t="shared" si="1"/>
        <v>159.42000000000002</v>
      </c>
      <c r="M5" s="385">
        <v>0.03</v>
      </c>
      <c r="N5" s="385"/>
      <c r="O5" s="350">
        <f>SUM((D5*(1+M5)*$AA$5)+(E5*$AA$9)+(G5*$AA$5)+(H5*$AA$8)+(I5*$AA$7)+(K5*$AA$6))+($R5*$AA$10-$AA$10)+(27000)</f>
        <v>6164246.2000000002</v>
      </c>
      <c r="P5" s="646">
        <f>O5*9.89%</f>
        <v>609643.94918</v>
      </c>
      <c r="Q5" s="647">
        <f t="shared" ref="Q5:Q23" si="4">O5-P5</f>
        <v>5554602.2508199997</v>
      </c>
      <c r="R5" s="397">
        <v>2</v>
      </c>
      <c r="S5" s="398"/>
      <c r="T5" s="386"/>
      <c r="U5" s="397"/>
      <c r="V5" s="399"/>
      <c r="W5" s="399"/>
      <c r="X5" s="399"/>
      <c r="Y5" s="397"/>
      <c r="Z5" s="400">
        <f t="shared" si="2"/>
        <v>58707.106666666667</v>
      </c>
      <c r="AA5" s="120">
        <v>39728</v>
      </c>
      <c r="AB5" s="97" t="s">
        <v>18</v>
      </c>
      <c r="AC5" s="401">
        <f t="shared" ref="AC5:AC25" si="5">+O5*0.94</f>
        <v>5794391.4280000003</v>
      </c>
    </row>
    <row r="6" spans="1:30" ht="16.8" thickBot="1">
      <c r="A6" s="379" t="s">
        <v>246</v>
      </c>
      <c r="B6" s="391" t="s">
        <v>68</v>
      </c>
      <c r="C6" s="402" t="s">
        <v>69</v>
      </c>
      <c r="D6" s="403">
        <v>114</v>
      </c>
      <c r="E6" s="404">
        <v>3.5</v>
      </c>
      <c r="F6" s="394">
        <f t="shared" si="0"/>
        <v>117.5</v>
      </c>
      <c r="G6" s="385">
        <v>0</v>
      </c>
      <c r="H6" s="395">
        <v>100.94</v>
      </c>
      <c r="I6" s="385">
        <v>0</v>
      </c>
      <c r="J6" s="396"/>
      <c r="K6" s="385"/>
      <c r="L6" s="385">
        <f t="shared" si="1"/>
        <v>218.44</v>
      </c>
      <c r="M6" s="385">
        <v>0.03</v>
      </c>
      <c r="N6" s="385"/>
      <c r="O6" s="350">
        <f>SUM((D6*(1+M6)*$AA$5)+(E6*$AA$9)+(G6*$AA$5)+(H6*$AA$8)+(I6*$AA$7)+(K6*$AA$6))+($R6*$AA$10-$AA$10)+(27000)</f>
        <v>8008424.0399999991</v>
      </c>
      <c r="P6" s="646">
        <f>O6*9.89%</f>
        <v>792033.13755599991</v>
      </c>
      <c r="Q6" s="647">
        <f t="shared" si="4"/>
        <v>7216390.9024439994</v>
      </c>
      <c r="R6" s="397">
        <v>2</v>
      </c>
      <c r="S6" s="398"/>
      <c r="T6" s="386"/>
      <c r="U6" s="397"/>
      <c r="V6" s="399"/>
      <c r="W6" s="399"/>
      <c r="X6" s="399"/>
      <c r="Y6" s="397"/>
      <c r="Z6" s="400">
        <f t="shared" si="2"/>
        <v>68156.800340425529</v>
      </c>
      <c r="AA6" s="120">
        <v>19820</v>
      </c>
      <c r="AB6" s="97" t="s">
        <v>10</v>
      </c>
      <c r="AC6" s="401">
        <f t="shared" si="5"/>
        <v>7527918.597599999</v>
      </c>
    </row>
    <row r="7" spans="1:30" ht="16.8" thickBot="1">
      <c r="A7" s="379" t="s">
        <v>246</v>
      </c>
      <c r="B7" s="405" t="s">
        <v>64</v>
      </c>
      <c r="C7" s="378" t="s">
        <v>70</v>
      </c>
      <c r="D7" s="406">
        <v>115</v>
      </c>
      <c r="E7" s="407">
        <v>3.5</v>
      </c>
      <c r="F7" s="407">
        <f t="shared" si="0"/>
        <v>118.5</v>
      </c>
      <c r="G7" s="408">
        <v>0</v>
      </c>
      <c r="H7" s="409">
        <v>99.86</v>
      </c>
      <c r="I7" s="408">
        <v>0</v>
      </c>
      <c r="J7" s="410"/>
      <c r="K7" s="408"/>
      <c r="L7" s="408">
        <f t="shared" si="1"/>
        <v>218.36</v>
      </c>
      <c r="M7" s="408">
        <v>0.03</v>
      </c>
      <c r="N7" s="408"/>
      <c r="O7" s="350">
        <f>SUM((D7*(1+M7)*$AA$5)+(E7*$AA$9)+(G7*$AA$5)+(H7*$AA$8)+(I7*$AA$7)+(K7*$AA$6))+($R7*$AA$10-$AA$10)+(27000)</f>
        <v>8018442.9199999999</v>
      </c>
      <c r="P7" s="646">
        <f>O7*9.89%</f>
        <v>793024.00478800002</v>
      </c>
      <c r="Q7" s="647">
        <f t="shared" si="4"/>
        <v>7225418.9152119998</v>
      </c>
      <c r="R7" s="411">
        <v>2</v>
      </c>
      <c r="S7" s="398"/>
      <c r="T7" s="386"/>
      <c r="U7" s="411"/>
      <c r="V7" s="412"/>
      <c r="W7" s="412"/>
      <c r="X7" s="412"/>
      <c r="Y7" s="411"/>
      <c r="Z7" s="400">
        <f t="shared" si="2"/>
        <v>67666.184978902951</v>
      </c>
      <c r="AA7" s="120">
        <v>14099</v>
      </c>
      <c r="AB7" s="97" t="s">
        <v>9</v>
      </c>
      <c r="AC7" s="401">
        <f t="shared" si="5"/>
        <v>7537336.3447999991</v>
      </c>
    </row>
    <row r="8" spans="1:30" ht="16.8" thickBot="1">
      <c r="A8" s="379" t="s">
        <v>246</v>
      </c>
      <c r="B8" s="379" t="s">
        <v>64</v>
      </c>
      <c r="C8" s="440" t="s">
        <v>71</v>
      </c>
      <c r="D8" s="441">
        <v>115</v>
      </c>
      <c r="E8" s="441">
        <v>3.5</v>
      </c>
      <c r="F8" s="441">
        <f t="shared" si="0"/>
        <v>118.5</v>
      </c>
      <c r="G8" s="442"/>
      <c r="H8" s="442">
        <v>0</v>
      </c>
      <c r="I8" s="442">
        <v>0</v>
      </c>
      <c r="J8" s="424"/>
      <c r="K8" s="442"/>
      <c r="L8" s="442">
        <f t="shared" si="1"/>
        <v>118.5</v>
      </c>
      <c r="M8" s="442">
        <v>0.06</v>
      </c>
      <c r="N8" s="442"/>
      <c r="O8" s="126">
        <f>SUM((D8*(1+M8)*$AA$5*$AA$11)+(E8*$AA$9)+(G8*$AA$5)+(H8*$AA$8)+(I8*$AA$7)+(K8*$AA$6))+($R8*$AA$10-$AA$10) +(27000)+259492</f>
        <v>5606230.6320000002</v>
      </c>
      <c r="P8" s="646">
        <f>O8*5%</f>
        <v>280311.53160000005</v>
      </c>
      <c r="Q8" s="647">
        <f t="shared" si="4"/>
        <v>5325919.1003999999</v>
      </c>
      <c r="R8" s="398">
        <v>2</v>
      </c>
      <c r="S8" s="398"/>
      <c r="T8" s="398"/>
      <c r="U8" s="398"/>
      <c r="V8" s="444"/>
      <c r="W8" s="444"/>
      <c r="X8" s="464"/>
      <c r="Y8" s="398"/>
      <c r="Z8" s="400">
        <f t="shared" si="2"/>
        <v>47309.963139240506</v>
      </c>
      <c r="AA8" s="96">
        <v>28612</v>
      </c>
      <c r="AB8" s="97" t="s">
        <v>23</v>
      </c>
      <c r="AC8" s="401">
        <f t="shared" si="5"/>
        <v>5269856.7940799994</v>
      </c>
    </row>
    <row r="9" spans="1:30" ht="16.8" thickBot="1">
      <c r="A9" s="379" t="s">
        <v>246</v>
      </c>
      <c r="B9" s="391" t="s">
        <v>68</v>
      </c>
      <c r="C9" s="392" t="s">
        <v>72</v>
      </c>
      <c r="D9" s="394">
        <v>114</v>
      </c>
      <c r="E9" s="394">
        <v>3.5</v>
      </c>
      <c r="F9" s="394">
        <f t="shared" si="0"/>
        <v>117.5</v>
      </c>
      <c r="G9" s="385">
        <v>0</v>
      </c>
      <c r="H9" s="385">
        <v>0</v>
      </c>
      <c r="I9" s="385">
        <v>0</v>
      </c>
      <c r="J9" s="410"/>
      <c r="K9" s="385"/>
      <c r="L9" s="385">
        <f t="shared" si="1"/>
        <v>117.5</v>
      </c>
      <c r="M9" s="385">
        <v>0.06</v>
      </c>
      <c r="N9" s="385"/>
      <c r="O9" s="126">
        <f>SUM((D9*(1+M9)*$AA$5*$AA$11)+(E9*$AA$9)+(G9*$AA$5)+(H9*$AA$8)+(I9*$AA$7)+(K9*$AA$6))+($R9*$AA$10-$AA$10)+(27000)+257428</f>
        <v>5561633.8352000006</v>
      </c>
      <c r="P9" s="646">
        <f t="shared" ref="P9:P19" si="6">O9*5%</f>
        <v>278081.69176000002</v>
      </c>
      <c r="Q9" s="647">
        <f t="shared" si="4"/>
        <v>5283552.1434400007</v>
      </c>
      <c r="R9" s="397">
        <v>2</v>
      </c>
      <c r="S9" s="397"/>
      <c r="T9" s="397"/>
      <c r="U9" s="397"/>
      <c r="V9" s="399"/>
      <c r="W9" s="399"/>
      <c r="X9" s="360"/>
      <c r="Y9" s="397"/>
      <c r="Z9" s="400">
        <f t="shared" si="2"/>
        <v>47333.053916595753</v>
      </c>
      <c r="AA9" s="96">
        <v>40260</v>
      </c>
      <c r="AB9" s="97" t="s">
        <v>73</v>
      </c>
      <c r="AC9" s="401">
        <f t="shared" si="5"/>
        <v>5227935.8050880004</v>
      </c>
    </row>
    <row r="10" spans="1:30" ht="16.8" thickBot="1">
      <c r="A10" s="413" t="s">
        <v>246</v>
      </c>
      <c r="B10" s="417" t="s">
        <v>68</v>
      </c>
      <c r="C10" s="418" t="s">
        <v>74</v>
      </c>
      <c r="D10" s="419">
        <v>114</v>
      </c>
      <c r="E10" s="419">
        <v>3.5</v>
      </c>
      <c r="F10" s="419">
        <f t="shared" si="0"/>
        <v>117.5</v>
      </c>
      <c r="G10" s="420">
        <v>0</v>
      </c>
      <c r="H10" s="420">
        <v>0</v>
      </c>
      <c r="I10" s="420">
        <v>0</v>
      </c>
      <c r="J10" s="415"/>
      <c r="K10" s="420"/>
      <c r="L10" s="420">
        <f t="shared" si="1"/>
        <v>117.5</v>
      </c>
      <c r="M10" s="420">
        <v>0.06</v>
      </c>
      <c r="N10" s="420"/>
      <c r="O10" s="176">
        <f>SUM((D10*(1+M10)*$AA$5*$AA$11)+(E10*$AA$9)+(G10*$AA$5)+(H10*$AA$8)+(I10*$AA$7)+(K10*$AA$6))+($R10*$AA$10-$AA$10)+(27000)</f>
        <v>5304205.8352000006</v>
      </c>
      <c r="P10" s="646">
        <f t="shared" si="6"/>
        <v>265210.29176000005</v>
      </c>
      <c r="Q10" s="648">
        <f t="shared" si="4"/>
        <v>5038995.5434400002</v>
      </c>
      <c r="R10" s="422">
        <v>2</v>
      </c>
      <c r="S10" s="422" t="s">
        <v>108</v>
      </c>
      <c r="T10" s="422" t="s">
        <v>283</v>
      </c>
      <c r="U10" s="422"/>
      <c r="V10" s="423"/>
      <c r="W10" s="423" t="s">
        <v>107</v>
      </c>
      <c r="X10" s="359" t="s">
        <v>289</v>
      </c>
      <c r="Y10" s="397"/>
      <c r="Z10" s="400">
        <f t="shared" si="2"/>
        <v>45142.177320851071</v>
      </c>
      <c r="AA10" s="120">
        <v>287557</v>
      </c>
      <c r="AB10" s="97" t="s">
        <v>27</v>
      </c>
      <c r="AC10" s="401">
        <f t="shared" si="5"/>
        <v>4985953.4850880001</v>
      </c>
    </row>
    <row r="11" spans="1:30" ht="16.8" thickBot="1">
      <c r="A11" s="379" t="s">
        <v>246</v>
      </c>
      <c r="B11" s="379" t="s">
        <v>64</v>
      </c>
      <c r="C11" s="425" t="s">
        <v>75</v>
      </c>
      <c r="D11" s="426">
        <v>115</v>
      </c>
      <c r="E11" s="426">
        <v>3.5</v>
      </c>
      <c r="F11" s="426">
        <f t="shared" si="0"/>
        <v>118.5</v>
      </c>
      <c r="G11" s="427">
        <v>0</v>
      </c>
      <c r="H11" s="427">
        <v>0</v>
      </c>
      <c r="I11" s="427">
        <v>0</v>
      </c>
      <c r="J11" s="410"/>
      <c r="K11" s="427"/>
      <c r="L11" s="427">
        <f t="shared" si="1"/>
        <v>118.5</v>
      </c>
      <c r="M11" s="427">
        <v>0.06</v>
      </c>
      <c r="N11" s="427"/>
      <c r="O11" s="126">
        <f>SUM((D11*(1+M11)*$AA$5*$AA$11)+(E11*$AA$9)+(G11*$AA$5)+(H11*$AA$8)+(I11*$AA$7)+(K11*$AA$6))+($R11*$AA$10-$AA$10)+(27000)</f>
        <v>5346738.6320000002</v>
      </c>
      <c r="P11" s="646">
        <f t="shared" si="6"/>
        <v>267336.93160000001</v>
      </c>
      <c r="Q11" s="647">
        <f t="shared" si="4"/>
        <v>5079401.7004000004</v>
      </c>
      <c r="R11" s="428">
        <v>2</v>
      </c>
      <c r="S11" s="429"/>
      <c r="T11" s="430"/>
      <c r="U11" s="431"/>
      <c r="V11" s="432"/>
      <c r="W11" s="430"/>
      <c r="X11" s="360"/>
      <c r="Y11" s="428"/>
      <c r="Z11" s="400">
        <f t="shared" si="2"/>
        <v>45120.157232067511</v>
      </c>
      <c r="AA11" s="98">
        <v>1.01</v>
      </c>
      <c r="AB11" s="97" t="s">
        <v>106</v>
      </c>
      <c r="AC11" s="401">
        <f t="shared" si="5"/>
        <v>5025934.3140799999</v>
      </c>
    </row>
    <row r="12" spans="1:30" ht="16.8" thickBot="1">
      <c r="A12" s="379" t="s">
        <v>246</v>
      </c>
      <c r="B12" s="379" t="s">
        <v>64</v>
      </c>
      <c r="C12" s="380" t="s">
        <v>76</v>
      </c>
      <c r="D12" s="381">
        <v>115</v>
      </c>
      <c r="E12" s="381">
        <v>3.5</v>
      </c>
      <c r="F12" s="381">
        <f t="shared" si="0"/>
        <v>118.5</v>
      </c>
      <c r="G12" s="382">
        <v>0</v>
      </c>
      <c r="H12" s="382">
        <v>0</v>
      </c>
      <c r="I12" s="382">
        <v>0</v>
      </c>
      <c r="J12" s="424"/>
      <c r="K12" s="382"/>
      <c r="L12" s="382">
        <f t="shared" si="1"/>
        <v>118.5</v>
      </c>
      <c r="M12" s="385">
        <v>5.5E-2</v>
      </c>
      <c r="N12" s="382"/>
      <c r="O12" s="126">
        <f>SUM((D12*(1+M12)*$AA$5*$AA$12)+(E12*$AA$9)+(G12*$AA$5)+(H12*$AA$8)+(I12*$AA$7)+(K12*$AA$6))+($R12*$AA$10-$AA$10)+(27000)</f>
        <v>5395966.5899999989</v>
      </c>
      <c r="P12" s="646">
        <f t="shared" si="6"/>
        <v>269798.32949999993</v>
      </c>
      <c r="Q12" s="647">
        <f t="shared" si="4"/>
        <v>5126168.2604999989</v>
      </c>
      <c r="R12" s="386">
        <v>2</v>
      </c>
      <c r="S12" s="433"/>
      <c r="T12" s="434"/>
      <c r="U12" s="435"/>
      <c r="V12" s="436"/>
      <c r="W12" s="437"/>
      <c r="X12" s="360"/>
      <c r="Y12" s="386"/>
      <c r="Z12" s="400">
        <f t="shared" si="2"/>
        <v>45535.583037974677</v>
      </c>
      <c r="AA12" s="98">
        <v>1.0249999999999999</v>
      </c>
      <c r="AB12" s="97" t="s">
        <v>31</v>
      </c>
      <c r="AC12" s="401">
        <f t="shared" si="5"/>
        <v>5072208.5945999986</v>
      </c>
    </row>
    <row r="13" spans="1:30" ht="16.8" thickBot="1">
      <c r="A13" s="379" t="s">
        <v>246</v>
      </c>
      <c r="B13" s="391" t="s">
        <v>68</v>
      </c>
      <c r="C13" s="392" t="s">
        <v>77</v>
      </c>
      <c r="D13" s="394">
        <v>114</v>
      </c>
      <c r="E13" s="394">
        <v>3.5</v>
      </c>
      <c r="F13" s="394">
        <f t="shared" si="0"/>
        <v>117.5</v>
      </c>
      <c r="G13" s="385">
        <v>0</v>
      </c>
      <c r="H13" s="385">
        <v>0</v>
      </c>
      <c r="I13" s="385">
        <v>0</v>
      </c>
      <c r="J13" s="410"/>
      <c r="K13" s="385"/>
      <c r="L13" s="385">
        <f t="shared" si="1"/>
        <v>117.5</v>
      </c>
      <c r="M13" s="385">
        <v>6.5000000000000002E-2</v>
      </c>
      <c r="N13" s="385"/>
      <c r="O13" s="126">
        <f>SUM((D13*(1+M13)*$AA$5*$AA$12)+(E13*$AA$9)+(G13*$AA$5)+(H13*$AA$8)+(I13*$AA$7)+(K13*$AA$6))+($R13*$AA$10-$AA$10)+(27000)+265049</f>
        <v>5664476.8919999991</v>
      </c>
      <c r="P13" s="646">
        <f t="shared" si="6"/>
        <v>283223.84459999995</v>
      </c>
      <c r="Q13" s="647">
        <f t="shared" si="4"/>
        <v>5381253.0473999996</v>
      </c>
      <c r="R13" s="397">
        <v>2</v>
      </c>
      <c r="S13" s="515"/>
      <c r="T13" s="437"/>
      <c r="U13" s="435"/>
      <c r="V13" s="436"/>
      <c r="W13" s="437"/>
      <c r="X13" s="360"/>
      <c r="Y13" s="397"/>
      <c r="Z13" s="400">
        <f t="shared" si="2"/>
        <v>48208.313974468074</v>
      </c>
      <c r="AA13" s="98">
        <v>1.04</v>
      </c>
      <c r="AB13" s="97" t="s">
        <v>105</v>
      </c>
      <c r="AC13" s="401">
        <f t="shared" si="5"/>
        <v>5324608.2784799989</v>
      </c>
    </row>
    <row r="14" spans="1:30" ht="16.8" thickBot="1">
      <c r="A14" s="379" t="s">
        <v>246</v>
      </c>
      <c r="B14" s="391" t="s">
        <v>68</v>
      </c>
      <c r="C14" s="392" t="s">
        <v>78</v>
      </c>
      <c r="D14" s="394">
        <v>114</v>
      </c>
      <c r="E14" s="394">
        <v>3.5</v>
      </c>
      <c r="F14" s="394">
        <f t="shared" si="0"/>
        <v>117.5</v>
      </c>
      <c r="G14" s="385">
        <v>0</v>
      </c>
      <c r="H14" s="385">
        <v>0</v>
      </c>
      <c r="I14" s="385">
        <v>0</v>
      </c>
      <c r="J14" s="424"/>
      <c r="K14" s="385"/>
      <c r="L14" s="385">
        <f t="shared" si="1"/>
        <v>117.5</v>
      </c>
      <c r="M14" s="385">
        <v>6.5000000000000002E-2</v>
      </c>
      <c r="N14" s="385"/>
      <c r="O14" s="126">
        <f>SUM((D14*(1+M14)*$AA$5*$AA$12)+(E14*$AA$9)+(G14*$AA$5)+(H14*$AA$8)+(I14*$AA$7)+(K14*$AA$6))+($R14*$AA$10-$AA$10)+(27000)+265049</f>
        <v>5664476.8919999991</v>
      </c>
      <c r="P14" s="646">
        <f t="shared" si="6"/>
        <v>283223.84459999995</v>
      </c>
      <c r="Q14" s="647">
        <f t="shared" si="4"/>
        <v>5381253.0473999996</v>
      </c>
      <c r="R14" s="397">
        <v>2</v>
      </c>
      <c r="S14" s="397"/>
      <c r="T14" s="397"/>
      <c r="U14" s="397"/>
      <c r="V14" s="399"/>
      <c r="W14" s="399"/>
      <c r="X14" s="399"/>
      <c r="Y14" s="397"/>
      <c r="Z14" s="400">
        <f t="shared" si="2"/>
        <v>48208.313974468074</v>
      </c>
      <c r="AA14" s="98">
        <v>1.1499999999999999</v>
      </c>
      <c r="AB14" s="97" t="s">
        <v>33</v>
      </c>
      <c r="AC14" s="401">
        <f t="shared" si="5"/>
        <v>5324608.2784799989</v>
      </c>
    </row>
    <row r="15" spans="1:30" ht="16.8" thickBot="1">
      <c r="A15" s="379" t="s">
        <v>246</v>
      </c>
      <c r="B15" s="405" t="s">
        <v>64</v>
      </c>
      <c r="C15" s="378" t="s">
        <v>79</v>
      </c>
      <c r="D15" s="407">
        <v>115</v>
      </c>
      <c r="E15" s="407">
        <v>3.5</v>
      </c>
      <c r="F15" s="407">
        <f t="shared" si="0"/>
        <v>118.5</v>
      </c>
      <c r="G15" s="408">
        <v>0</v>
      </c>
      <c r="H15" s="408">
        <v>0</v>
      </c>
      <c r="I15" s="408">
        <v>0</v>
      </c>
      <c r="J15" s="410"/>
      <c r="K15" s="408"/>
      <c r="L15" s="408">
        <f t="shared" si="1"/>
        <v>118.5</v>
      </c>
      <c r="M15" s="385">
        <v>5.5E-2</v>
      </c>
      <c r="N15" s="408"/>
      <c r="O15" s="126">
        <f>SUM((D15*(1+M15)*$AA$5*$AA$12)+(E15*$AA$9)+(G15*$AA$5)+(H15*$AA$8)+(I15*$AA$7)+(K15*$AA$6))+($R15*$AA$10-$AA$10)+(27000)</f>
        <v>5395966.5899999989</v>
      </c>
      <c r="P15" s="646">
        <f t="shared" si="6"/>
        <v>269798.32949999993</v>
      </c>
      <c r="Q15" s="647">
        <f t="shared" si="4"/>
        <v>5126168.2604999989</v>
      </c>
      <c r="R15" s="411">
        <v>2</v>
      </c>
      <c r="S15" s="411"/>
      <c r="T15" s="411"/>
      <c r="U15" s="411"/>
      <c r="V15" s="412"/>
      <c r="W15" s="412"/>
      <c r="X15" s="412"/>
      <c r="Y15" s="411"/>
      <c r="Z15" s="400">
        <f t="shared" si="2"/>
        <v>45535.583037974677</v>
      </c>
      <c r="AA15" s="98"/>
      <c r="AB15" s="28"/>
      <c r="AC15" s="401">
        <f t="shared" si="5"/>
        <v>5072208.5945999986</v>
      </c>
    </row>
    <row r="16" spans="1:30" ht="16.8" thickBot="1">
      <c r="A16" s="379" t="s">
        <v>246</v>
      </c>
      <c r="B16" s="379" t="s">
        <v>64</v>
      </c>
      <c r="C16" s="440" t="s">
        <v>80</v>
      </c>
      <c r="D16" s="441">
        <v>115</v>
      </c>
      <c r="E16" s="441">
        <v>3.5</v>
      </c>
      <c r="F16" s="441">
        <f t="shared" si="0"/>
        <v>118.5</v>
      </c>
      <c r="G16" s="442">
        <v>0</v>
      </c>
      <c r="H16" s="442">
        <v>0</v>
      </c>
      <c r="I16" s="442">
        <v>0</v>
      </c>
      <c r="J16" s="424"/>
      <c r="K16" s="442"/>
      <c r="L16" s="442">
        <f t="shared" si="1"/>
        <v>118.5</v>
      </c>
      <c r="M16" s="385">
        <v>5.5E-2</v>
      </c>
      <c r="N16" s="442"/>
      <c r="O16" s="126">
        <f>SUM((D16*(1+M16)*$AA$5*$AA$13)+(E16*$AA$9)+(G16*$AA$5)+(H16*$AA$8)+(I16*$AA$7)+(K16*$AA$6))+($R16*$AA$10-$AA$10)+(27000)+265389</f>
        <v>5733655.5839999998</v>
      </c>
      <c r="P16" s="646">
        <f t="shared" si="6"/>
        <v>286682.77919999999</v>
      </c>
      <c r="Q16" s="647">
        <f t="shared" si="4"/>
        <v>5446972.8048</v>
      </c>
      <c r="R16" s="398">
        <v>2</v>
      </c>
      <c r="S16" s="398"/>
      <c r="T16" s="398"/>
      <c r="U16" s="398"/>
      <c r="V16" s="444"/>
      <c r="W16" s="444"/>
      <c r="X16" s="444"/>
      <c r="Y16" s="398"/>
      <c r="Z16" s="400">
        <f t="shared" si="2"/>
        <v>48385.279189873414</v>
      </c>
      <c r="AA16" s="96"/>
      <c r="AB16" s="28"/>
      <c r="AC16" s="401">
        <f t="shared" si="5"/>
        <v>5389636.2489599995</v>
      </c>
    </row>
    <row r="17" spans="1:29" ht="16.8" thickBot="1">
      <c r="A17" s="413" t="s">
        <v>246</v>
      </c>
      <c r="B17" s="417" t="s">
        <v>68</v>
      </c>
      <c r="C17" s="418" t="s">
        <v>81</v>
      </c>
      <c r="D17" s="419">
        <v>114</v>
      </c>
      <c r="E17" s="419">
        <v>3.5</v>
      </c>
      <c r="F17" s="419">
        <f t="shared" si="0"/>
        <v>117.5</v>
      </c>
      <c r="G17" s="420">
        <v>0</v>
      </c>
      <c r="H17" s="420">
        <v>0</v>
      </c>
      <c r="I17" s="420">
        <v>0</v>
      </c>
      <c r="J17" s="421"/>
      <c r="K17" s="420"/>
      <c r="L17" s="420">
        <f t="shared" si="1"/>
        <v>117.5</v>
      </c>
      <c r="M17" s="385">
        <v>6.5000000000000002E-2</v>
      </c>
      <c r="N17" s="385"/>
      <c r="O17" s="176">
        <f>SUM((D17*(1+M17)*$AA$5*$AA$13)+(E17*$AA$9)+(G17*$AA$5)+(H17*$AA$8)+(I17*$AA$7)+(K17*$AA$6))+($R17*$AA$10-$AA$10)+(27000)</f>
        <v>5471778.5391999995</v>
      </c>
      <c r="P17" s="646">
        <f t="shared" si="6"/>
        <v>273588.92696000001</v>
      </c>
      <c r="Q17" s="648">
        <f t="shared" si="4"/>
        <v>5198189.6122399997</v>
      </c>
      <c r="R17" s="422">
        <v>2</v>
      </c>
      <c r="S17" s="438" t="s">
        <v>108</v>
      </c>
      <c r="T17" s="438" t="s">
        <v>272</v>
      </c>
      <c r="U17" s="422"/>
      <c r="V17" s="423"/>
      <c r="W17" s="438" t="s">
        <v>124</v>
      </c>
      <c r="X17" s="361" t="s">
        <v>288</v>
      </c>
      <c r="Y17" s="397"/>
      <c r="Z17" s="400">
        <f t="shared" si="2"/>
        <v>46568.327993191488</v>
      </c>
      <c r="AA17" s="96"/>
      <c r="AB17" s="28"/>
      <c r="AC17" s="401">
        <f t="shared" si="5"/>
        <v>5143471.8268479994</v>
      </c>
    </row>
    <row r="18" spans="1:29" ht="16.8" thickBot="1">
      <c r="A18" s="379" t="s">
        <v>246</v>
      </c>
      <c r="B18" s="391" t="s">
        <v>68</v>
      </c>
      <c r="C18" s="392" t="s">
        <v>82</v>
      </c>
      <c r="D18" s="394">
        <v>114</v>
      </c>
      <c r="E18" s="394">
        <v>3.5</v>
      </c>
      <c r="F18" s="394">
        <f t="shared" si="0"/>
        <v>117.5</v>
      </c>
      <c r="G18" s="385">
        <v>0</v>
      </c>
      <c r="H18" s="385">
        <v>0</v>
      </c>
      <c r="I18" s="385">
        <v>0</v>
      </c>
      <c r="J18" s="424"/>
      <c r="K18" s="385"/>
      <c r="L18" s="385">
        <f t="shared" si="1"/>
        <v>117.5</v>
      </c>
      <c r="M18" s="385">
        <v>6.5000000000000002E-2</v>
      </c>
      <c r="N18" s="385"/>
      <c r="O18" s="126">
        <f>SUM((D18*(1+M18)*$AA$5*$AA$13)+(E18*$AA$9)+(G18*$AA$5)+(H18*$AA$8)+(I18*$AA$7)+(K18*$AA$6))+($R18*$AA$10-$AA$10)+(27000)+265560</f>
        <v>5737338.5391999995</v>
      </c>
      <c r="P18" s="646">
        <f t="shared" si="6"/>
        <v>286866.92696000001</v>
      </c>
      <c r="Q18" s="647">
        <f t="shared" si="4"/>
        <v>5450471.6122399997</v>
      </c>
      <c r="R18" s="397">
        <v>2</v>
      </c>
      <c r="S18" s="439"/>
      <c r="T18" s="439"/>
      <c r="U18" s="397"/>
      <c r="V18" s="399"/>
      <c r="W18" s="439"/>
      <c r="X18" s="473"/>
      <c r="Y18" s="397"/>
      <c r="Z18" s="400">
        <f t="shared" si="2"/>
        <v>48828.413099574464</v>
      </c>
      <c r="AA18" s="96"/>
      <c r="AB18" s="28"/>
      <c r="AC18" s="401">
        <f t="shared" si="5"/>
        <v>5393098.2268479988</v>
      </c>
    </row>
    <row r="19" spans="1:29" ht="16.8" thickBot="1">
      <c r="A19" s="379" t="s">
        <v>246</v>
      </c>
      <c r="B19" s="405" t="s">
        <v>64</v>
      </c>
      <c r="C19" s="378" t="s">
        <v>83</v>
      </c>
      <c r="D19" s="407">
        <v>115</v>
      </c>
      <c r="E19" s="407">
        <v>3.5</v>
      </c>
      <c r="F19" s="407">
        <f t="shared" si="0"/>
        <v>118.5</v>
      </c>
      <c r="G19" s="408">
        <v>0</v>
      </c>
      <c r="H19" s="408">
        <v>0</v>
      </c>
      <c r="I19" s="408">
        <v>0</v>
      </c>
      <c r="J19" s="410"/>
      <c r="K19" s="408"/>
      <c r="L19" s="408">
        <f t="shared" si="1"/>
        <v>118.5</v>
      </c>
      <c r="M19" s="408">
        <v>0.06</v>
      </c>
      <c r="N19" s="408"/>
      <c r="O19" s="126">
        <f>SUM((D19*(1+M19)*$AA$5*$AA$13)+(E19*$AA$9)+(G19*$AA$5)+(H19*$AA$8)+(I19*$AA$7)+(K19*$AA$6))+($R19*$AA$10-$AA$10)+(27000)+266542</f>
        <v>5758565.9280000003</v>
      </c>
      <c r="P19" s="646">
        <f t="shared" si="6"/>
        <v>287928.29640000005</v>
      </c>
      <c r="Q19" s="647">
        <f t="shared" si="4"/>
        <v>5470637.6316</v>
      </c>
      <c r="R19" s="411">
        <v>2</v>
      </c>
      <c r="S19" s="474"/>
      <c r="T19" s="474"/>
      <c r="U19" s="411"/>
      <c r="V19" s="412"/>
      <c r="W19" s="474"/>
      <c r="X19" s="473"/>
      <c r="Y19" s="411"/>
      <c r="Z19" s="400">
        <f t="shared" si="2"/>
        <v>48595.493063291142</v>
      </c>
      <c r="AA19" s="96"/>
      <c r="AB19" s="28"/>
      <c r="AC19" s="401">
        <f t="shared" si="5"/>
        <v>5413051.9723199997</v>
      </c>
    </row>
    <row r="20" spans="1:29" ht="16.8" thickBot="1">
      <c r="A20" s="379" t="s">
        <v>246</v>
      </c>
      <c r="B20" s="379" t="s">
        <v>64</v>
      </c>
      <c r="C20" s="440" t="s">
        <v>84</v>
      </c>
      <c r="D20" s="441">
        <v>115</v>
      </c>
      <c r="E20" s="441">
        <v>3.5</v>
      </c>
      <c r="F20" s="441">
        <f t="shared" si="0"/>
        <v>118.5</v>
      </c>
      <c r="G20" s="442">
        <v>0</v>
      </c>
      <c r="H20" s="442">
        <v>0</v>
      </c>
      <c r="I20" s="441">
        <v>99.1</v>
      </c>
      <c r="J20" s="443"/>
      <c r="K20" s="442"/>
      <c r="L20" s="442">
        <f t="shared" si="1"/>
        <v>217.6</v>
      </c>
      <c r="M20" s="442">
        <v>0.06</v>
      </c>
      <c r="N20" s="442"/>
      <c r="O20" s="126">
        <f>SUM((D20*(1+M20)*$AA$5*$AA$14)+(E20*$AA$9)+(G20*$AA$5)+(H20*$AA$8)+(I20*$AA$7)+(K20*$AA$6))+($R20*$AA$10-$AA$10)+(27000)</f>
        <v>7421947.5800000001</v>
      </c>
      <c r="P20" s="646">
        <f>O20*9.89%</f>
        <v>734030.61566200003</v>
      </c>
      <c r="Q20" s="647">
        <f t="shared" si="4"/>
        <v>6687916.9643379999</v>
      </c>
      <c r="R20" s="398">
        <v>2</v>
      </c>
      <c r="S20" s="398"/>
      <c r="T20" s="398"/>
      <c r="U20" s="398"/>
      <c r="V20" s="444"/>
      <c r="W20" s="444"/>
      <c r="X20" s="444"/>
      <c r="Y20" s="398"/>
      <c r="Z20" s="400">
        <f t="shared" si="2"/>
        <v>62632.469029535867</v>
      </c>
      <c r="AA20" s="96"/>
      <c r="AB20" s="28"/>
      <c r="AC20" s="401">
        <f t="shared" si="5"/>
        <v>6976630.7251999993</v>
      </c>
    </row>
    <row r="21" spans="1:29" ht="16.8" thickBot="1">
      <c r="A21" s="379" t="s">
        <v>246</v>
      </c>
      <c r="B21" s="391" t="s">
        <v>68</v>
      </c>
      <c r="C21" s="553" t="s">
        <v>85</v>
      </c>
      <c r="D21" s="554">
        <v>114</v>
      </c>
      <c r="E21" s="554">
        <v>3.5</v>
      </c>
      <c r="F21" s="554">
        <f t="shared" si="0"/>
        <v>117.5</v>
      </c>
      <c r="G21" s="555">
        <v>0</v>
      </c>
      <c r="H21" s="555">
        <v>0</v>
      </c>
      <c r="I21" s="554">
        <v>99.4</v>
      </c>
      <c r="J21" s="476"/>
      <c r="K21" s="555">
        <v>0</v>
      </c>
      <c r="L21" s="555">
        <f t="shared" si="1"/>
        <v>216.9</v>
      </c>
      <c r="M21" s="556">
        <v>0.09</v>
      </c>
      <c r="N21" s="555"/>
      <c r="O21" s="126">
        <f>SUM((D21*(1+M21)*$AA$5*$AA$14)+(E21*$AA$9)+(G21*$AA$5)+(H21*$AA$8)+(I21*$AA$7)+(K21*$AA$6))+($R21*$AA$10-$AA$10)+(27000)+368630</f>
        <v>7902629.0720000006</v>
      </c>
      <c r="P21" s="646">
        <f>O21*9.85%</f>
        <v>778408.96359199996</v>
      </c>
      <c r="Q21" s="647">
        <f t="shared" si="4"/>
        <v>7124220.1084080003</v>
      </c>
      <c r="R21" s="445">
        <v>2</v>
      </c>
      <c r="S21" s="445"/>
      <c r="T21" s="445"/>
      <c r="U21" s="445"/>
      <c r="V21" s="482"/>
      <c r="W21" s="482"/>
      <c r="X21" s="482"/>
      <c r="Y21" s="445"/>
      <c r="Z21" s="400">
        <f t="shared" si="2"/>
        <v>67256.417634042562</v>
      </c>
      <c r="AA21" s="96"/>
      <c r="AB21" s="28"/>
      <c r="AC21" s="401">
        <f t="shared" si="5"/>
        <v>7428471.3276800001</v>
      </c>
    </row>
    <row r="22" spans="1:29" ht="16.8" thickBot="1">
      <c r="A22" s="379" t="s">
        <v>246</v>
      </c>
      <c r="B22" s="391" t="s">
        <v>68</v>
      </c>
      <c r="C22" s="392" t="s">
        <v>86</v>
      </c>
      <c r="D22" s="394">
        <v>114</v>
      </c>
      <c r="E22" s="394">
        <v>3.5</v>
      </c>
      <c r="F22" s="394">
        <f t="shared" si="0"/>
        <v>117.5</v>
      </c>
      <c r="G22" s="385">
        <v>0</v>
      </c>
      <c r="H22" s="385">
        <v>0</v>
      </c>
      <c r="I22" s="394">
        <v>99.4</v>
      </c>
      <c r="J22" s="475"/>
      <c r="K22" s="385">
        <v>0</v>
      </c>
      <c r="L22" s="385">
        <f t="shared" si="1"/>
        <v>216.9</v>
      </c>
      <c r="M22" s="556">
        <v>0.09</v>
      </c>
      <c r="N22" s="385"/>
      <c r="O22" s="126">
        <f>SUM((D22*(1+M22)*$AA$5*$AA$14)+(E22*$AA$9)+(G22*$AA$5)+(H22*$AA$8)+(I22*$AA$7)+(K22*$AA$6))+($R22*$AA$10-$AA$10)+(27000)+368630</f>
        <v>7902629.0720000006</v>
      </c>
      <c r="P22" s="646">
        <f>O22*9.85%</f>
        <v>778408.96359199996</v>
      </c>
      <c r="Q22" s="647">
        <f t="shared" si="4"/>
        <v>7124220.1084080003</v>
      </c>
      <c r="R22" s="397">
        <v>2</v>
      </c>
      <c r="S22" s="397"/>
      <c r="T22" s="397"/>
      <c r="U22" s="397"/>
      <c r="V22" s="399"/>
      <c r="W22" s="399"/>
      <c r="X22" s="399"/>
      <c r="Y22" s="397"/>
      <c r="Z22" s="400">
        <f t="shared" si="2"/>
        <v>67256.417634042562</v>
      </c>
      <c r="AA22" s="96"/>
      <c r="AB22" s="28"/>
      <c r="AC22" s="401">
        <f t="shared" si="5"/>
        <v>7428471.3276800001</v>
      </c>
    </row>
    <row r="23" spans="1:29" ht="16.2">
      <c r="A23" s="379" t="s">
        <v>246</v>
      </c>
      <c r="B23" s="391" t="s">
        <v>64</v>
      </c>
      <c r="C23" s="392" t="s">
        <v>87</v>
      </c>
      <c r="D23" s="394">
        <v>115</v>
      </c>
      <c r="E23" s="394">
        <v>3.5</v>
      </c>
      <c r="F23" s="394">
        <f t="shared" si="0"/>
        <v>118.5</v>
      </c>
      <c r="G23" s="385">
        <v>0</v>
      </c>
      <c r="H23" s="385">
        <v>0</v>
      </c>
      <c r="I23" s="394">
        <v>99.1</v>
      </c>
      <c r="J23" s="394"/>
      <c r="K23" s="385">
        <v>0</v>
      </c>
      <c r="L23" s="385">
        <f t="shared" si="1"/>
        <v>217.6</v>
      </c>
      <c r="M23" s="385">
        <v>6.5000000000000002E-2</v>
      </c>
      <c r="N23" s="385"/>
      <c r="O23" s="126">
        <f>SUM((D23*(1+M23)*$AA$5*$AA$14)+(E23*$AA$9)+(G23*$AA$5)+(H23*$AA$8)+(I23*$AA$7)+(K23*$AA$6))+($R23*$AA$10-$AA$10)+(27000)</f>
        <v>7448217.7199999988</v>
      </c>
      <c r="P23" s="646">
        <f>O23*9.89%</f>
        <v>736628.73250799987</v>
      </c>
      <c r="Q23" s="647">
        <f t="shared" si="4"/>
        <v>6711588.9874919988</v>
      </c>
      <c r="R23" s="397">
        <v>2</v>
      </c>
      <c r="S23" s="397"/>
      <c r="T23" s="397"/>
      <c r="U23" s="397"/>
      <c r="V23" s="399"/>
      <c r="W23" s="399"/>
      <c r="X23" s="399"/>
      <c r="Y23" s="397"/>
      <c r="Z23" s="400">
        <f t="shared" si="2"/>
        <v>62854.157974683534</v>
      </c>
      <c r="AA23" s="446"/>
      <c r="AB23" s="28"/>
      <c r="AC23" s="401">
        <f t="shared" si="5"/>
        <v>7001324.6567999981</v>
      </c>
    </row>
    <row r="24" spans="1:29" ht="16.2" hidden="1">
      <c r="A24" s="447"/>
      <c r="B24" s="447"/>
      <c r="C24" s="448"/>
      <c r="D24" s="449"/>
      <c r="E24" s="449"/>
      <c r="F24" s="449"/>
      <c r="G24" s="449"/>
      <c r="H24" s="449"/>
      <c r="I24" s="449"/>
      <c r="J24" s="449"/>
      <c r="K24" s="449"/>
      <c r="L24" s="449"/>
      <c r="M24" s="449"/>
      <c r="N24" s="449"/>
      <c r="O24" s="450"/>
      <c r="P24" s="450"/>
      <c r="Q24" s="450"/>
      <c r="R24" s="447"/>
      <c r="S24" s="447"/>
      <c r="T24" s="447"/>
      <c r="U24" s="447"/>
      <c r="V24" s="451"/>
      <c r="W24" s="451"/>
      <c r="X24" s="451"/>
      <c r="Y24" s="447"/>
      <c r="Z24" s="447"/>
      <c r="AA24" s="28"/>
      <c r="AB24" s="28"/>
      <c r="AC24" s="401">
        <f t="shared" si="5"/>
        <v>0</v>
      </c>
    </row>
    <row r="25" spans="1:29" ht="16.2" hidden="1">
      <c r="A25" s="28"/>
      <c r="B25" s="28"/>
      <c r="C25" s="452"/>
      <c r="D25" s="109">
        <f t="shared" ref="D25:I25" si="7">SUM(D4:D24)</f>
        <v>2275</v>
      </c>
      <c r="E25" s="109">
        <f t="shared" si="7"/>
        <v>72.5</v>
      </c>
      <c r="F25" s="109">
        <f t="shared" si="7"/>
        <v>2347.5</v>
      </c>
      <c r="G25" s="109">
        <f t="shared" si="7"/>
        <v>0</v>
      </c>
      <c r="H25" s="109">
        <f t="shared" si="7"/>
        <v>324.08</v>
      </c>
      <c r="I25" s="109">
        <f t="shared" si="7"/>
        <v>397</v>
      </c>
      <c r="J25" s="109"/>
      <c r="K25" s="109"/>
      <c r="L25" s="109">
        <f>SUM(L4:L24)</f>
        <v>3068.58</v>
      </c>
      <c r="M25" s="109"/>
      <c r="N25" s="109"/>
      <c r="O25" s="351">
        <f>SUM(O4:O24)</f>
        <v>126639042.01279998</v>
      </c>
      <c r="P25" s="351"/>
      <c r="Q25" s="351"/>
      <c r="R25" s="28"/>
      <c r="S25" s="28"/>
      <c r="T25" s="28"/>
      <c r="U25" s="28"/>
      <c r="V25" s="453"/>
      <c r="W25" s="453"/>
      <c r="X25" s="453"/>
      <c r="Y25" s="28"/>
      <c r="Z25" s="28"/>
      <c r="AA25" s="454"/>
      <c r="AB25" s="28"/>
      <c r="AC25" s="401">
        <f t="shared" si="5"/>
        <v>119040699.49203198</v>
      </c>
    </row>
    <row r="26" spans="1:29" ht="16.2"/>
  </sheetData>
  <mergeCells count="1">
    <mergeCell ref="H2:J2"/>
  </mergeCells>
  <phoneticPr fontId="13" type="noConversion"/>
  <pageMargins left="0.75000000000000011" right="0.75000000000000011" top="1" bottom="1" header="0.5" footer="0.5"/>
  <pageSetup scale="81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JADE</vt:lpstr>
      <vt:lpstr>LIMA</vt:lpstr>
      <vt:lpstr>MALVA</vt:lpstr>
      <vt:lpstr>AMBAR</vt:lpstr>
      <vt:lpstr>CORAL</vt:lpstr>
      <vt:lpstr>TERRACOTA</vt:lpstr>
      <vt:lpstr>CAOBA</vt:lpstr>
      <vt:lpstr>SIENA</vt:lpstr>
      <vt:lpstr>AMBAR!Área_de_impresión</vt:lpstr>
      <vt:lpstr>CAOBA!Área_de_impresión</vt:lpstr>
      <vt:lpstr>CORAL!Área_de_impresión</vt:lpstr>
      <vt:lpstr>LIMA!Área_de_impresión</vt:lpstr>
      <vt:lpstr>MALVA!Área_de_impresión</vt:lpstr>
      <vt:lpstr>SIENA!Área_de_impresión</vt:lpstr>
      <vt:lpstr>TERRACOTA!Área_de_impresión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usuario</cp:lastModifiedBy>
  <cp:lastPrinted>2018-06-13T16:08:29Z</cp:lastPrinted>
  <dcterms:created xsi:type="dcterms:W3CDTF">2015-03-06T16:25:29Z</dcterms:created>
  <dcterms:modified xsi:type="dcterms:W3CDTF">2019-03-20T19:26:40Z</dcterms:modified>
</cp:coreProperties>
</file>